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PCTEAM\AppData\Local\Microsoft\Windows\INetCache\Content.Outlook\9G64VEPT\"/>
    </mc:Choice>
  </mc:AlternateContent>
  <xr:revisionPtr revIDLastSave="0" documentId="13_ncr:1_{81B84AE1-2BFA-4682-8ADC-B61CFA73F940}" xr6:coauthVersionLast="46" xr6:coauthVersionMax="46" xr10:uidLastSave="{00000000-0000-0000-0000-000000000000}"/>
  <bookViews>
    <workbookView xWindow="-108" yWindow="-108" windowWidth="23256" windowHeight="12576" xr2:uid="{00000000-000D-0000-FFFF-FFFF00000000}"/>
  </bookViews>
  <sheets>
    <sheet name="PharmaCompass Welcome" sheetId="1" r:id="rId1"/>
    <sheet name="RadioData" sheetId="2" r:id="rId2"/>
    <sheet name="Abbott" sheetId="7" r:id="rId3"/>
    <sheet name="AbbVie" sheetId="8" r:id="rId4"/>
    <sheet name="Alcon" sheetId="9" r:id="rId5"/>
    <sheet name="Alexion" sheetId="10" r:id="rId6"/>
    <sheet name="Alnylam Pharma" sheetId="11" r:id="rId7"/>
    <sheet name="Amgen" sheetId="12" r:id="rId8"/>
    <sheet name="Astellas" sheetId="13" r:id="rId9"/>
    <sheet name="AstraZeneca" sheetId="14" r:id="rId10"/>
    <sheet name="Bausch Health" sheetId="15" r:id="rId11"/>
    <sheet name="Bavarian Nordic" sheetId="16" r:id="rId12"/>
    <sheet name="Baxter" sheetId="17" r:id="rId13"/>
    <sheet name="Bayer" sheetId="18" r:id="rId14"/>
    <sheet name="Biogen" sheetId="19" r:id="rId15"/>
    <sheet name="Biomarin" sheetId="20" r:id="rId16"/>
    <sheet name="Boehringer Ingelheim" sheetId="21" r:id="rId17"/>
    <sheet name="Bristol Myers Squibb" sheetId="22" r:id="rId18"/>
    <sheet name="Chugai " sheetId="23" r:id="rId19"/>
    <sheet name="Cosmo Pharmaceuticals" sheetId="24" r:id="rId20"/>
    <sheet name="Daiichi Sankyo" sheetId="25" r:id="rId21"/>
    <sheet name="Dainippon Sumitomo" sheetId="26" r:id="rId22"/>
    <sheet name="Eisai" sheetId="27" r:id="rId23"/>
    <sheet name="Endo Pharma" sheetId="28" r:id="rId24"/>
    <sheet name="Eli Lilly" sheetId="29" r:id="rId25"/>
    <sheet name="Fresenius SE &amp; Co. KGaA" sheetId="30" r:id="rId26"/>
    <sheet name="Gilead" sheetId="31" r:id="rId27"/>
    <sheet name="GlaxoSmithKline" sheetId="32" r:id="rId28"/>
    <sheet name="Ionis Pharmaceuticals" sheetId="33" r:id="rId29"/>
    <sheet name="Ipsen" sheetId="34" r:id="rId30"/>
    <sheet name="Jazz Pharma" sheetId="35" r:id="rId31"/>
    <sheet name="Johnson &amp; Johnson" sheetId="36" r:id="rId32"/>
    <sheet name="Kyowa Kirin" sheetId="37" r:id="rId33"/>
    <sheet name="Lundbeck" sheetId="38" r:id="rId34"/>
    <sheet name="Mallinckrodt Plc" sheetId="39" r:id="rId35"/>
    <sheet name="Merck" sheetId="40" r:id="rId36"/>
    <sheet name="Mitsubishi Tanabe" sheetId="41" r:id="rId37"/>
    <sheet name="Mylan (9 months)" sheetId="42" r:id="rId38"/>
    <sheet name="Upjohn (9 months)" sheetId="43" r:id="rId39"/>
    <sheet name="Viatris" sheetId="44" r:id="rId40"/>
    <sheet name="Neurocrine" sheetId="45" r:id="rId41"/>
    <sheet name="Novartis" sheetId="46" r:id="rId42"/>
    <sheet name="Novo Nordisk" sheetId="47" r:id="rId43"/>
    <sheet name="Ono Pharma" sheetId="48" r:id="rId44"/>
    <sheet name="Otsuka" sheetId="49" r:id="rId45"/>
    <sheet name="Pfizer Inc." sheetId="50" r:id="rId46"/>
    <sheet name="Regeneron" sheetId="51" r:id="rId47"/>
    <sheet name="Roche" sheetId="52" r:id="rId48"/>
    <sheet name="Sanofi" sheetId="53" r:id="rId49"/>
    <sheet name="Shionogi &amp; Co. Ltd" sheetId="54" r:id="rId50"/>
    <sheet name="Swedish Orphan Biovitrum AB" sheetId="55" r:id="rId51"/>
    <sheet name="Takeda" sheetId="56" r:id="rId52"/>
    <sheet name="Teva" sheetId="57" r:id="rId53"/>
    <sheet name="UCB" sheetId="58" r:id="rId54"/>
    <sheet name="Ultragenyx Pharm Inc" sheetId="59" r:id="rId55"/>
    <sheet name="United Therapeutics" sheetId="60" r:id="rId56"/>
    <sheet name="Vertex" sheetId="61" r:id="rId57"/>
  </sheets>
  <definedNames>
    <definedName name="_xlnm._FilterDatabase" localSheetId="1" hidden="1">RadioData!$A$1:$M$1</definedName>
    <definedName name="Z_0707BFF7_B4F7_4056_930F_5F55BF6FB92A_.wvu.FilterData" localSheetId="1" hidden="1">RadioData!$A$1:$M$1241</definedName>
    <definedName name="Z_10A3025B_5449_49F8_A99F_8A84C4C32AAD_.wvu.FilterData" localSheetId="1" hidden="1">RadioData!$A$1:$M$1241</definedName>
    <definedName name="Z_21FEF08D_7C34_4CCC_B58C_264BD98230EF_.wvu.FilterData" localSheetId="1" hidden="1">RadioData!$A$1:$M$1241</definedName>
    <definedName name="Z_3B1FC2FB_0EA5_4AE2_9CFE_96FE443CC5F5_.wvu.FilterData" localSheetId="1" hidden="1">RadioData!$A$1:$M$1241</definedName>
    <definedName name="Z_3F4E9AAA_C2C5_46C6_8F23_D50409981308_.wvu.FilterData" localSheetId="1" hidden="1">RadioData!$A$1:$M$1241</definedName>
    <definedName name="Z_5A137666_9454_4BE8_9A84_5E33CCFA83A3_.wvu.FilterData" localSheetId="1" hidden="1">RadioData!$A$1:$M$1241</definedName>
    <definedName name="Z_61CC7756_6460_40B7_9B8E_EFB297A4460E_.wvu.FilterData" localSheetId="1" hidden="1">RadioData!$A$1:$M$1241</definedName>
    <definedName name="Z_65012E1A_EE16_4ECD_9555_818CDAE39147_.wvu.FilterData" localSheetId="1" hidden="1">RadioData!$A$1:$M$1241</definedName>
    <definedName name="Z_651C7571_4512_40DE_82E5_F74C0DF78740_.wvu.FilterData" localSheetId="1" hidden="1">RadioData!$A$1:$M$1241</definedName>
    <definedName name="Z_662E8007_C298_4C0B_9A8E_912D4192F876_.wvu.FilterData" localSheetId="1" hidden="1">RadioData!$A$1:$M$1241</definedName>
    <definedName name="Z_6B9E4B79_D6B7_42B4_B376_2E7F89791175_.wvu.FilterData" localSheetId="1" hidden="1">RadioData!$A$1:$M$1241</definedName>
    <definedName name="Z_7084F808_3DCA_4E45_9DE9_CE8EC5FAA9D2_.wvu.FilterData" localSheetId="1" hidden="1">RadioData!$A$1:$M$1241</definedName>
    <definedName name="Z_84B3163D_902E_4C92_8C2D_84A5ED847535_.wvu.FilterData" localSheetId="1" hidden="1">RadioData!$A$1:$M$1241</definedName>
    <definedName name="Z_A971BD08_53D8_4F68_B6E3_A45C9E252B62_.wvu.FilterData" localSheetId="1" hidden="1">RadioData!$A$1:$M$1241</definedName>
    <definedName name="Z_D2DC4635_F57C_4FC7_8127_AAD063A0E375_.wvu.FilterData" localSheetId="1" hidden="1">RadioData!$A$1:$M$1241</definedName>
    <definedName name="Z_D4E76856_821B_4CB5_AC45_26BE4C4C3E33_.wvu.FilterData" localSheetId="1" hidden="1">RadioData!$A$1:$M$1241</definedName>
    <definedName name="Z_DA779525_1922_4228_A7F9_7152AC5A4606_.wvu.FilterData" localSheetId="1" hidden="1">RadioData!$A$1:$M$1241</definedName>
    <definedName name="Z_E2888B7E_CC43_4BD3_A991_DB679EDD278C_.wvu.FilterData" localSheetId="1" hidden="1">RadioData!$A$1:$M$1241</definedName>
    <definedName name="Z_E5D38E0C_7656_40BD_A1B9_60BC864FD23C_.wvu.FilterData" localSheetId="1" hidden="1">RadioData!$A$1:$M$1241</definedName>
    <definedName name="Z_FB27566C_4428_47E4_8CA0_31A8119A6220_.wvu.FilterData" localSheetId="1" hidden="1">RadioData!$A$1:$M$1241</definedName>
    <definedName name="Z_FF8A1C4D_6D76_494E_94A5_37AB05A1FC55_.wvu.FilterData" localSheetId="1" hidden="1">RadioData!$A$1:$M$1241</definedName>
  </definedNames>
  <calcPr calcId="191029"/>
  <customWorkbookViews>
    <customWorkbookView name="Filter 11" guid="{5A137666-9454-4BE8-9A84-5E33CCFA83A3}" maximized="1" windowWidth="0" windowHeight="0" activeSheetId="0"/>
    <customWorkbookView name="Filter 12" guid="{3B1FC2FB-0EA5-4AE2-9CFE-96FE443CC5F5}" maximized="1" windowWidth="0" windowHeight="0" activeSheetId="0"/>
    <customWorkbookView name="Filter 13" guid="{10A3025B-5449-49F8-A99F-8A84C4C32AAD}" maximized="1" windowWidth="0" windowHeight="0" activeSheetId="0"/>
    <customWorkbookView name="Filter 14" guid="{D2DC4635-F57C-4FC7-8127-AAD063A0E375}" maximized="1" windowWidth="0" windowHeight="0" activeSheetId="0"/>
    <customWorkbookView name="Filter 15" guid="{DA779525-1922-4228-A7F9-7152AC5A4606}" maximized="1" windowWidth="0" windowHeight="0" activeSheetId="0"/>
    <customWorkbookView name="Filter 16" guid="{84B3163D-902E-4C92-8C2D-84A5ED847535}" maximized="1" windowWidth="0" windowHeight="0" activeSheetId="0"/>
    <customWorkbookView name="Filter 17" guid="{6B9E4B79-D6B7-42B4-B376-2E7F89791175}" maximized="1" windowWidth="0" windowHeight="0" activeSheetId="0"/>
    <customWorkbookView name="Filter 18" guid="{21FEF08D-7C34-4CCC-B58C-264BD98230EF}" maximized="1" windowWidth="0" windowHeight="0" activeSheetId="0"/>
    <customWorkbookView name="Filter 8" guid="{3F4E9AAA-C2C5-46C6-8F23-D50409981308}" maximized="1" windowWidth="0" windowHeight="0" activeSheetId="0"/>
    <customWorkbookView name="Filter 20" guid="{65012E1A-EE16-4ECD-9555-818CDAE39147}" maximized="1" windowWidth="0" windowHeight="0" activeSheetId="0"/>
    <customWorkbookView name="Filter 10" guid="{662E8007-C298-4C0B-9A8E-912D4192F876}" maximized="1" windowWidth="0" windowHeight="0" activeSheetId="0"/>
    <customWorkbookView name="Filter 9" guid="{FB27566C-4428-47E4-8CA0-31A8119A6220}" maximized="1" windowWidth="0" windowHeight="0" activeSheetId="0"/>
    <customWorkbookView name="Filter 21" guid="{E5D38E0C-7656-40BD-A1B9-60BC864FD23C}" maximized="1" windowWidth="0" windowHeight="0" activeSheetId="0"/>
    <customWorkbookView name="Filter 6" guid="{651C7571-4512-40DE-82E5-F74C0DF78740}" maximized="1" windowWidth="0" windowHeight="0" activeSheetId="0"/>
    <customWorkbookView name="Filter 7" guid="{E2888B7E-CC43-4BD3-A991-DB679EDD278C}" maximized="1" windowWidth="0" windowHeight="0" activeSheetId="0"/>
    <customWorkbookView name="Filter 4" guid="{0707BFF7-B4F7-4056-930F-5F55BF6FB92A}" maximized="1" windowWidth="0" windowHeight="0" activeSheetId="0"/>
    <customWorkbookView name="Filter 5" guid="{D4E76856-821B-4CB5-AC45-26BE4C4C3E33}" maximized="1" windowWidth="0" windowHeight="0" activeSheetId="0"/>
    <customWorkbookView name="Filter 2" guid="{FF8A1C4D-6D76-494E-94A5-37AB05A1FC55}" maximized="1" windowWidth="0" windowHeight="0" activeSheetId="0"/>
    <customWorkbookView name="Filter 3" guid="{61CC7756-6460-40B7-9B8E-EFB297A4460E}" maximized="1" windowWidth="0" windowHeight="0" activeSheetId="0"/>
    <customWorkbookView name="Filter 1" guid="{A971BD08-53D8-4F68-B6E3-A45C9E252B62}" maximized="1" windowWidth="0" windowHeight="0" activeSheetId="0"/>
    <customWorkbookView name="Filter 19" guid="{7084F808-3DCA-4E45-9DE9-CE8EC5FAA9D2}"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61" l="1"/>
  <c r="F8" i="61"/>
  <c r="G7" i="61"/>
  <c r="F7" i="61"/>
  <c r="G6" i="61"/>
  <c r="F6" i="61"/>
  <c r="F5" i="61"/>
  <c r="G5" i="61" s="1"/>
  <c r="F4" i="61"/>
  <c r="G4" i="61" s="1"/>
  <c r="G3" i="61"/>
  <c r="F3" i="61"/>
  <c r="G2" i="61"/>
  <c r="F2" i="61"/>
  <c r="G7" i="60"/>
  <c r="F7" i="60"/>
  <c r="G6" i="60"/>
  <c r="F6" i="60"/>
  <c r="G5" i="60"/>
  <c r="F5" i="60"/>
  <c r="G4" i="60"/>
  <c r="F4" i="60"/>
  <c r="G3" i="60"/>
  <c r="F3" i="60"/>
  <c r="G2" i="60"/>
  <c r="F2" i="60"/>
  <c r="G12" i="59"/>
  <c r="F12" i="59"/>
  <c r="F11" i="59"/>
  <c r="F10" i="59"/>
  <c r="G10" i="59" s="1"/>
  <c r="F9" i="59"/>
  <c r="G9" i="59" s="1"/>
  <c r="F8" i="59"/>
  <c r="G7" i="59"/>
  <c r="F7" i="59"/>
  <c r="G6" i="59"/>
  <c r="F6" i="59"/>
  <c r="G5" i="59"/>
  <c r="F5" i="59"/>
  <c r="F4" i="59"/>
  <c r="G4" i="59" s="1"/>
  <c r="F3" i="59"/>
  <c r="G3" i="59" s="1"/>
  <c r="G2" i="59"/>
  <c r="F2" i="59"/>
  <c r="M18" i="58"/>
  <c r="L18" i="58"/>
  <c r="M17" i="58"/>
  <c r="L17" i="58"/>
  <c r="M16" i="58"/>
  <c r="L16" i="58"/>
  <c r="M15" i="58"/>
  <c r="L15" i="58"/>
  <c r="L14" i="58"/>
  <c r="M14" i="58" s="1"/>
  <c r="M13" i="58"/>
  <c r="L13" i="58"/>
  <c r="M12" i="58"/>
  <c r="L12" i="58"/>
  <c r="M11" i="58"/>
  <c r="L11" i="58"/>
  <c r="M10" i="58"/>
  <c r="L10" i="58"/>
  <c r="L9" i="58"/>
  <c r="M9" i="58" s="1"/>
  <c r="L8" i="58"/>
  <c r="L7" i="58"/>
  <c r="M6" i="58"/>
  <c r="L6" i="58"/>
  <c r="M5" i="58"/>
  <c r="L5" i="58"/>
  <c r="M4" i="58"/>
  <c r="L4" i="58"/>
  <c r="M3" i="58"/>
  <c r="L3" i="58"/>
  <c r="L2" i="58"/>
  <c r="M2" i="58" s="1"/>
  <c r="L12" i="57"/>
  <c r="M12" i="57" s="1"/>
  <c r="K11" i="57"/>
  <c r="L11" i="57" s="1"/>
  <c r="M11" i="57" s="1"/>
  <c r="L10" i="57"/>
  <c r="M10" i="57" s="1"/>
  <c r="K10" i="57"/>
  <c r="K9" i="57"/>
  <c r="L9" i="57" s="1"/>
  <c r="M9" i="57" s="1"/>
  <c r="K8" i="57"/>
  <c r="L8" i="57" s="1"/>
  <c r="M8" i="57" s="1"/>
  <c r="L7" i="57"/>
  <c r="M7" i="57" s="1"/>
  <c r="K7" i="57"/>
  <c r="M6" i="57"/>
  <c r="L6" i="57"/>
  <c r="K6" i="57"/>
  <c r="K5" i="57"/>
  <c r="L5" i="57" s="1"/>
  <c r="M5" i="57" s="1"/>
  <c r="M4" i="57"/>
  <c r="K4" i="57"/>
  <c r="L4" i="57" s="1"/>
  <c r="L3" i="57"/>
  <c r="M3" i="57" s="1"/>
  <c r="K3" i="57"/>
  <c r="M2" i="57"/>
  <c r="L2" i="57"/>
  <c r="K2" i="57"/>
  <c r="G57" i="56"/>
  <c r="F57" i="56"/>
  <c r="F56" i="56"/>
  <c r="G56" i="56" s="1"/>
  <c r="F55" i="56"/>
  <c r="G55" i="56" s="1"/>
  <c r="F54" i="56"/>
  <c r="G54" i="56" s="1"/>
  <c r="G53" i="56"/>
  <c r="F53" i="56"/>
  <c r="G52" i="56"/>
  <c r="F52" i="56"/>
  <c r="G51" i="56"/>
  <c r="F51" i="56"/>
  <c r="F50" i="56"/>
  <c r="G50" i="56" s="1"/>
  <c r="F49" i="56"/>
  <c r="G49" i="56" s="1"/>
  <c r="F48" i="56"/>
  <c r="G48" i="56" s="1"/>
  <c r="G47" i="56"/>
  <c r="F47" i="56"/>
  <c r="G46" i="56"/>
  <c r="F46" i="56"/>
  <c r="G45" i="56"/>
  <c r="F45" i="56"/>
  <c r="G44" i="56"/>
  <c r="F44" i="56"/>
  <c r="F43" i="56"/>
  <c r="G43" i="56" s="1"/>
  <c r="F42" i="56"/>
  <c r="G42" i="56" s="1"/>
  <c r="G41" i="56"/>
  <c r="F41" i="56"/>
  <c r="G40" i="56"/>
  <c r="F40" i="56"/>
  <c r="G39" i="56"/>
  <c r="F39" i="56"/>
  <c r="F38" i="56"/>
  <c r="G38" i="56" s="1"/>
  <c r="F37" i="56"/>
  <c r="G37" i="56" s="1"/>
  <c r="F36" i="56"/>
  <c r="G36" i="56" s="1"/>
  <c r="G35" i="56"/>
  <c r="F35" i="56"/>
  <c r="G34" i="56"/>
  <c r="F34" i="56"/>
  <c r="G33" i="56"/>
  <c r="F33" i="56"/>
  <c r="F32" i="56"/>
  <c r="G32" i="56" s="1"/>
  <c r="F31" i="56"/>
  <c r="G31" i="56" s="1"/>
  <c r="F30" i="56"/>
  <c r="G30" i="56" s="1"/>
  <c r="G29" i="56"/>
  <c r="F29" i="56"/>
  <c r="G28" i="56"/>
  <c r="F28" i="56"/>
  <c r="G27" i="56"/>
  <c r="F27" i="56"/>
  <c r="G26" i="56"/>
  <c r="F26" i="56"/>
  <c r="F25" i="56"/>
  <c r="G25" i="56" s="1"/>
  <c r="F24" i="56"/>
  <c r="G24" i="56" s="1"/>
  <c r="G23" i="56"/>
  <c r="F23" i="56"/>
  <c r="G22" i="56"/>
  <c r="F22" i="56"/>
  <c r="G21" i="56"/>
  <c r="F21" i="56"/>
  <c r="F20" i="56"/>
  <c r="G20" i="56" s="1"/>
  <c r="F19" i="56"/>
  <c r="G19" i="56" s="1"/>
  <c r="F18" i="56"/>
  <c r="G18" i="56" s="1"/>
  <c r="G17" i="56"/>
  <c r="F17" i="56"/>
  <c r="G16" i="56"/>
  <c r="F16" i="56"/>
  <c r="G15" i="56"/>
  <c r="F15" i="56"/>
  <c r="F14" i="56"/>
  <c r="G14" i="56" s="1"/>
  <c r="F13" i="56"/>
  <c r="G13" i="56" s="1"/>
  <c r="F12" i="56"/>
  <c r="G12" i="56" s="1"/>
  <c r="G11" i="56"/>
  <c r="F11" i="56"/>
  <c r="G10" i="56"/>
  <c r="F10" i="56"/>
  <c r="G9" i="56"/>
  <c r="F9" i="56"/>
  <c r="G8" i="56"/>
  <c r="F8" i="56"/>
  <c r="F7" i="56"/>
  <c r="G7" i="56" s="1"/>
  <c r="F6" i="56"/>
  <c r="G6" i="56" s="1"/>
  <c r="G5" i="56"/>
  <c r="F5" i="56"/>
  <c r="G4" i="56"/>
  <c r="F4" i="56"/>
  <c r="G3" i="56"/>
  <c r="F3" i="56"/>
  <c r="F2" i="56"/>
  <c r="G2" i="56" s="1"/>
  <c r="F14" i="55"/>
  <c r="G14" i="55" s="1"/>
  <c r="F13" i="55"/>
  <c r="G13" i="55" s="1"/>
  <c r="G12" i="55"/>
  <c r="F12" i="55"/>
  <c r="G11" i="55"/>
  <c r="F11" i="55"/>
  <c r="G10" i="55"/>
  <c r="F10" i="55"/>
  <c r="F9" i="55"/>
  <c r="G9" i="55" s="1"/>
  <c r="F8" i="55"/>
  <c r="G8" i="55" s="1"/>
  <c r="F7" i="55"/>
  <c r="G7" i="55" s="1"/>
  <c r="G6" i="55"/>
  <c r="F6" i="55"/>
  <c r="G5" i="55"/>
  <c r="F5" i="55"/>
  <c r="G4" i="55"/>
  <c r="F4" i="55"/>
  <c r="G3" i="55"/>
  <c r="F3" i="55"/>
  <c r="F2" i="55"/>
  <c r="G2" i="55" s="1"/>
  <c r="F25" i="54"/>
  <c r="G25" i="54" s="1"/>
  <c r="G24" i="54"/>
  <c r="F24" i="54"/>
  <c r="G23" i="54"/>
  <c r="F23" i="54"/>
  <c r="G22" i="54"/>
  <c r="F22" i="54"/>
  <c r="F21" i="54"/>
  <c r="G21" i="54" s="1"/>
  <c r="F20" i="54"/>
  <c r="G20" i="54" s="1"/>
  <c r="F19" i="54"/>
  <c r="G19" i="54" s="1"/>
  <c r="G18" i="54"/>
  <c r="F18" i="54"/>
  <c r="G17" i="54"/>
  <c r="F17" i="54"/>
  <c r="G16" i="54"/>
  <c r="F16" i="54"/>
  <c r="G15" i="54"/>
  <c r="F15" i="54"/>
  <c r="F14" i="54"/>
  <c r="G14" i="54" s="1"/>
  <c r="F13" i="54"/>
  <c r="G13" i="54" s="1"/>
  <c r="G12" i="54"/>
  <c r="F12" i="54"/>
  <c r="G11" i="54"/>
  <c r="F11" i="54"/>
  <c r="G10" i="54"/>
  <c r="F10" i="54"/>
  <c r="G9" i="54"/>
  <c r="F9" i="54"/>
  <c r="F8" i="54"/>
  <c r="G8" i="54" s="1"/>
  <c r="F7" i="54"/>
  <c r="G7" i="54" s="1"/>
  <c r="G6" i="54"/>
  <c r="F6" i="54"/>
  <c r="F5" i="54"/>
  <c r="F4" i="54"/>
  <c r="G4" i="54" s="1"/>
  <c r="F3" i="54"/>
  <c r="G3" i="54" s="1"/>
  <c r="G2" i="54"/>
  <c r="F2" i="54"/>
  <c r="G63" i="53"/>
  <c r="L63" i="53" s="1"/>
  <c r="M63" i="53" s="1"/>
  <c r="M62" i="53"/>
  <c r="L62" i="53"/>
  <c r="G62" i="53"/>
  <c r="M61" i="53"/>
  <c r="L61" i="53"/>
  <c r="L60" i="53"/>
  <c r="M60" i="53" s="1"/>
  <c r="M59" i="53"/>
  <c r="G59" i="53"/>
  <c r="L59" i="53" s="1"/>
  <c r="L58" i="53"/>
  <c r="M58" i="53" s="1"/>
  <c r="G58" i="53"/>
  <c r="M57" i="53"/>
  <c r="L57" i="53"/>
  <c r="M56" i="53"/>
  <c r="L56" i="53"/>
  <c r="L55" i="53"/>
  <c r="M55" i="53" s="1"/>
  <c r="M54" i="53"/>
  <c r="L54" i="53"/>
  <c r="G53" i="53"/>
  <c r="L53" i="53" s="1"/>
  <c r="M53" i="53" s="1"/>
  <c r="M52" i="53"/>
  <c r="L52" i="53"/>
  <c r="L51" i="53"/>
  <c r="M51" i="53" s="1"/>
  <c r="M50" i="53"/>
  <c r="G50" i="53"/>
  <c r="L50" i="53" s="1"/>
  <c r="M49" i="53"/>
  <c r="L49" i="53"/>
  <c r="L48" i="53"/>
  <c r="M48" i="53" s="1"/>
  <c r="M47" i="53"/>
  <c r="L47" i="53"/>
  <c r="G46" i="53"/>
  <c r="L46" i="53" s="1"/>
  <c r="M46" i="53" s="1"/>
  <c r="G45" i="53"/>
  <c r="L45" i="53" s="1"/>
  <c r="M45" i="53" s="1"/>
  <c r="G44" i="53"/>
  <c r="L44" i="53" s="1"/>
  <c r="M44" i="53" s="1"/>
  <c r="L43" i="53"/>
  <c r="M43" i="53" s="1"/>
  <c r="G43" i="53"/>
  <c r="G42" i="53"/>
  <c r="L42" i="53" s="1"/>
  <c r="M42" i="53" s="1"/>
  <c r="G41" i="53"/>
  <c r="L41" i="53" s="1"/>
  <c r="M41" i="53" s="1"/>
  <c r="M40" i="53"/>
  <c r="F40" i="53"/>
  <c r="E40" i="53"/>
  <c r="D40" i="53"/>
  <c r="G40" i="53" s="1"/>
  <c r="L40" i="53" s="1"/>
  <c r="G39" i="53"/>
  <c r="L39" i="53" s="1"/>
  <c r="M39" i="53" s="1"/>
  <c r="G38" i="53"/>
  <c r="L38" i="53" s="1"/>
  <c r="M38" i="53" s="1"/>
  <c r="M37" i="53"/>
  <c r="G37" i="53"/>
  <c r="L37" i="53" s="1"/>
  <c r="L36" i="53"/>
  <c r="M36" i="53" s="1"/>
  <c r="G36" i="53"/>
  <c r="G35" i="53"/>
  <c r="L35" i="53" s="1"/>
  <c r="M35" i="53" s="1"/>
  <c r="G34" i="53"/>
  <c r="L34" i="53" s="1"/>
  <c r="M34" i="53" s="1"/>
  <c r="G33" i="53"/>
  <c r="L33" i="53" s="1"/>
  <c r="M33" i="53" s="1"/>
  <c r="L32" i="53"/>
  <c r="M32" i="53" s="1"/>
  <c r="G32" i="53"/>
  <c r="G31" i="53"/>
  <c r="L31" i="53" s="1"/>
  <c r="M31" i="53" s="1"/>
  <c r="M30" i="53"/>
  <c r="G30" i="53"/>
  <c r="L30" i="53" s="1"/>
  <c r="M29" i="53"/>
  <c r="G29" i="53"/>
  <c r="L29" i="53" s="1"/>
  <c r="L28" i="53"/>
  <c r="M28" i="53" s="1"/>
  <c r="G28" i="53"/>
  <c r="G27" i="53"/>
  <c r="L27" i="53" s="1"/>
  <c r="M27" i="53" s="1"/>
  <c r="G26" i="53"/>
  <c r="L26" i="53" s="1"/>
  <c r="M26" i="53" s="1"/>
  <c r="M25" i="53"/>
  <c r="G25" i="53"/>
  <c r="L25" i="53" s="1"/>
  <c r="L24" i="53"/>
  <c r="M24" i="53" s="1"/>
  <c r="G24" i="53"/>
  <c r="G23" i="53"/>
  <c r="L23" i="53" s="1"/>
  <c r="M23" i="53" s="1"/>
  <c r="M22" i="53"/>
  <c r="G22" i="53"/>
  <c r="L22" i="53" s="1"/>
  <c r="F21" i="53"/>
  <c r="E21" i="53"/>
  <c r="D21" i="53"/>
  <c r="G21" i="53" s="1"/>
  <c r="L21" i="53" s="1"/>
  <c r="M21" i="53" s="1"/>
  <c r="G20" i="53"/>
  <c r="L20" i="53" s="1"/>
  <c r="M20" i="53" s="1"/>
  <c r="M19" i="53"/>
  <c r="G19" i="53"/>
  <c r="L19" i="53" s="1"/>
  <c r="G18" i="53"/>
  <c r="L18" i="53" s="1"/>
  <c r="M18" i="53" s="1"/>
  <c r="F17" i="53"/>
  <c r="E17" i="53"/>
  <c r="D17" i="53"/>
  <c r="G17" i="53" s="1"/>
  <c r="L17" i="53" s="1"/>
  <c r="M17" i="53" s="1"/>
  <c r="L16" i="53"/>
  <c r="G16" i="53"/>
  <c r="M15" i="53"/>
  <c r="L15" i="53"/>
  <c r="G15" i="53"/>
  <c r="G14" i="53"/>
  <c r="L13" i="53"/>
  <c r="M13" i="53" s="1"/>
  <c r="G13" i="53"/>
  <c r="M12" i="53"/>
  <c r="L12" i="53"/>
  <c r="E12" i="53"/>
  <c r="D12" i="53"/>
  <c r="G11" i="53"/>
  <c r="L11" i="53" s="1"/>
  <c r="M11" i="53" s="1"/>
  <c r="G10" i="53"/>
  <c r="L10" i="53" s="1"/>
  <c r="M10" i="53" s="1"/>
  <c r="M9" i="53"/>
  <c r="L9" i="53"/>
  <c r="G9" i="53"/>
  <c r="G8" i="53"/>
  <c r="L8" i="53" s="1"/>
  <c r="M8" i="53" s="1"/>
  <c r="L7" i="53"/>
  <c r="M7" i="53" s="1"/>
  <c r="G7" i="53"/>
  <c r="G6" i="53"/>
  <c r="L6" i="53" s="1"/>
  <c r="M6" i="53" s="1"/>
  <c r="M5" i="53"/>
  <c r="L5" i="53"/>
  <c r="G5" i="53"/>
  <c r="L4" i="53"/>
  <c r="M4" i="53" s="1"/>
  <c r="G4" i="53"/>
  <c r="G3" i="53"/>
  <c r="L3" i="53" s="1"/>
  <c r="M3" i="53" s="1"/>
  <c r="G2" i="53"/>
  <c r="L2" i="53" s="1"/>
  <c r="M2" i="53" s="1"/>
  <c r="G45" i="52"/>
  <c r="F45" i="52"/>
  <c r="G44" i="52"/>
  <c r="F44" i="52"/>
  <c r="G43" i="52"/>
  <c r="F43" i="52"/>
  <c r="F42" i="52"/>
  <c r="G42" i="52" s="1"/>
  <c r="G41" i="52"/>
  <c r="F41" i="52"/>
  <c r="F40" i="52"/>
  <c r="G40" i="52" s="1"/>
  <c r="G39" i="52"/>
  <c r="F39" i="52"/>
  <c r="G38" i="52"/>
  <c r="F38" i="52"/>
  <c r="F37" i="52"/>
  <c r="G37" i="52" s="1"/>
  <c r="F36" i="52"/>
  <c r="G36" i="52" s="1"/>
  <c r="G35" i="52"/>
  <c r="F35" i="52"/>
  <c r="F34" i="52"/>
  <c r="G34" i="52" s="1"/>
  <c r="G33" i="52"/>
  <c r="F33" i="52"/>
  <c r="G32" i="52"/>
  <c r="F32" i="52"/>
  <c r="F31" i="52"/>
  <c r="G31" i="52" s="1"/>
  <c r="F30" i="52"/>
  <c r="G30" i="52" s="1"/>
  <c r="G29" i="52"/>
  <c r="F29" i="52"/>
  <c r="F28" i="52"/>
  <c r="G28" i="52" s="1"/>
  <c r="G27" i="52"/>
  <c r="F27" i="52"/>
  <c r="G26" i="52"/>
  <c r="F26" i="52"/>
  <c r="G25" i="52"/>
  <c r="F25" i="52"/>
  <c r="F24" i="52"/>
  <c r="G24" i="52" s="1"/>
  <c r="G23" i="52"/>
  <c r="F23" i="52"/>
  <c r="F22" i="52"/>
  <c r="G22" i="52" s="1"/>
  <c r="G21" i="52"/>
  <c r="F21" i="52"/>
  <c r="G20" i="52"/>
  <c r="F20" i="52"/>
  <c r="F19" i="52"/>
  <c r="G19" i="52" s="1"/>
  <c r="F18" i="52"/>
  <c r="G18" i="52" s="1"/>
  <c r="G17" i="52"/>
  <c r="F17" i="52"/>
  <c r="F16" i="52"/>
  <c r="G16" i="52" s="1"/>
  <c r="G15" i="52"/>
  <c r="F15" i="52"/>
  <c r="G14" i="52"/>
  <c r="F14" i="52"/>
  <c r="F13" i="52"/>
  <c r="G13" i="52" s="1"/>
  <c r="F12" i="52"/>
  <c r="G12" i="52" s="1"/>
  <c r="G11" i="52"/>
  <c r="F11" i="52"/>
  <c r="F10" i="52"/>
  <c r="G10" i="52" s="1"/>
  <c r="G9" i="52"/>
  <c r="F9" i="52"/>
  <c r="G8" i="52"/>
  <c r="F8" i="52"/>
  <c r="G7" i="52"/>
  <c r="F7" i="52"/>
  <c r="F6" i="52"/>
  <c r="G6" i="52" s="1"/>
  <c r="G5" i="52"/>
  <c r="F5" i="52"/>
  <c r="F4" i="52"/>
  <c r="G4" i="52" s="1"/>
  <c r="G3" i="52"/>
  <c r="F3" i="52"/>
  <c r="G2" i="52"/>
  <c r="F2" i="52"/>
  <c r="H14" i="51"/>
  <c r="I14" i="51" s="1"/>
  <c r="H13" i="51"/>
  <c r="I13" i="51" s="1"/>
  <c r="I12" i="51"/>
  <c r="H12" i="51"/>
  <c r="H11" i="51"/>
  <c r="I11" i="51" s="1"/>
  <c r="I10" i="51"/>
  <c r="H10" i="51"/>
  <c r="I9" i="51"/>
  <c r="H9" i="51"/>
  <c r="H8" i="51"/>
  <c r="I8" i="51" s="1"/>
  <c r="H7" i="51"/>
  <c r="H6" i="51"/>
  <c r="I6" i="51" s="1"/>
  <c r="H5" i="51"/>
  <c r="I5" i="51" s="1"/>
  <c r="H4" i="51"/>
  <c r="I4" i="51" s="1"/>
  <c r="I3" i="51"/>
  <c r="H3" i="51"/>
  <c r="H2" i="51"/>
  <c r="I2" i="51" s="1"/>
  <c r="Q60" i="50"/>
  <c r="P60" i="50"/>
  <c r="P59" i="50"/>
  <c r="Q59" i="50" s="1"/>
  <c r="P58" i="50"/>
  <c r="Q58" i="50" s="1"/>
  <c r="P57" i="50"/>
  <c r="Q57" i="50" s="1"/>
  <c r="Q56" i="50"/>
  <c r="P56" i="50"/>
  <c r="P55" i="50"/>
  <c r="Q55" i="50" s="1"/>
  <c r="Q54" i="50"/>
  <c r="P54" i="50"/>
  <c r="P53" i="50"/>
  <c r="Q53" i="50" s="1"/>
  <c r="P52" i="50"/>
  <c r="Q52" i="50" s="1"/>
  <c r="P51" i="50"/>
  <c r="Q51" i="50" s="1"/>
  <c r="Q50" i="50"/>
  <c r="P50" i="50"/>
  <c r="P49" i="50"/>
  <c r="Q49" i="50" s="1"/>
  <c r="Q48" i="50"/>
  <c r="P48" i="50"/>
  <c r="Q47" i="50"/>
  <c r="P47" i="50"/>
  <c r="P46" i="50"/>
  <c r="Q46" i="50" s="1"/>
  <c r="P45" i="50"/>
  <c r="Q45" i="50" s="1"/>
  <c r="Q44" i="50"/>
  <c r="P44" i="50"/>
  <c r="P43" i="50"/>
  <c r="Q43" i="50" s="1"/>
  <c r="Q42" i="50"/>
  <c r="P42" i="50"/>
  <c r="Q41" i="50"/>
  <c r="P41" i="50"/>
  <c r="P40" i="50"/>
  <c r="P39" i="50"/>
  <c r="Q39" i="50" s="1"/>
  <c r="Q38" i="50"/>
  <c r="P38" i="50"/>
  <c r="Q37" i="50"/>
  <c r="P37" i="50"/>
  <c r="P36" i="50"/>
  <c r="Q36" i="50" s="1"/>
  <c r="P35" i="50"/>
  <c r="Q35" i="50" s="1"/>
  <c r="Q34" i="50"/>
  <c r="P34" i="50"/>
  <c r="P33" i="50"/>
  <c r="Q33" i="50" s="1"/>
  <c r="Q32" i="50"/>
  <c r="P32" i="50"/>
  <c r="Q31" i="50"/>
  <c r="P31" i="50"/>
  <c r="P30" i="50"/>
  <c r="Q30" i="50" s="1"/>
  <c r="P29" i="50"/>
  <c r="Q29" i="50" s="1"/>
  <c r="Q28" i="50"/>
  <c r="P28" i="50"/>
  <c r="P27" i="50"/>
  <c r="Q27" i="50" s="1"/>
  <c r="Q26" i="50"/>
  <c r="P26" i="50"/>
  <c r="Q25" i="50"/>
  <c r="P25" i="50"/>
  <c r="Q24" i="50"/>
  <c r="P24" i="50"/>
  <c r="P23" i="50"/>
  <c r="Q23" i="50" s="1"/>
  <c r="Q22" i="50"/>
  <c r="P22" i="50"/>
  <c r="P21" i="50"/>
  <c r="Q21" i="50" s="1"/>
  <c r="P20" i="50"/>
  <c r="P19" i="50"/>
  <c r="P18" i="50"/>
  <c r="P17" i="50"/>
  <c r="P16" i="50"/>
  <c r="Q16" i="50" s="1"/>
  <c r="P15" i="50"/>
  <c r="Q15" i="50" s="1"/>
  <c r="Q14" i="50"/>
  <c r="P14" i="50"/>
  <c r="P13" i="50"/>
  <c r="Q13" i="50" s="1"/>
  <c r="P12" i="50"/>
  <c r="Q12" i="50" s="1"/>
  <c r="Q11" i="50"/>
  <c r="P11" i="50"/>
  <c r="Q10" i="50"/>
  <c r="P10" i="50"/>
  <c r="P9" i="50"/>
  <c r="Q9" i="50" s="1"/>
  <c r="Q8" i="50"/>
  <c r="P8" i="50"/>
  <c r="P7" i="50"/>
  <c r="Q7" i="50" s="1"/>
  <c r="P6" i="50"/>
  <c r="Q6" i="50" s="1"/>
  <c r="Q5" i="50"/>
  <c r="P5" i="50"/>
  <c r="Q4" i="50"/>
  <c r="P4" i="50"/>
  <c r="P3" i="50"/>
  <c r="Q3" i="50" s="1"/>
  <c r="Q2" i="50"/>
  <c r="P2" i="50"/>
  <c r="F28" i="49"/>
  <c r="G28" i="49" s="1"/>
  <c r="G27" i="49"/>
  <c r="F27" i="49"/>
  <c r="G26" i="49"/>
  <c r="F26" i="49"/>
  <c r="F25" i="49"/>
  <c r="G25" i="49" s="1"/>
  <c r="F24" i="49"/>
  <c r="G24" i="49" s="1"/>
  <c r="G23" i="49"/>
  <c r="F23" i="49"/>
  <c r="F22" i="49"/>
  <c r="G22" i="49" s="1"/>
  <c r="F21" i="49"/>
  <c r="G21" i="49" s="1"/>
  <c r="G20" i="49"/>
  <c r="F20" i="49"/>
  <c r="F19" i="49"/>
  <c r="G19" i="49" s="1"/>
  <c r="F18" i="49"/>
  <c r="G18" i="49" s="1"/>
  <c r="G17" i="49"/>
  <c r="F17" i="49"/>
  <c r="F16" i="49"/>
  <c r="G16" i="49" s="1"/>
  <c r="G15" i="49"/>
  <c r="F15" i="49"/>
  <c r="G14" i="49"/>
  <c r="F14" i="49"/>
  <c r="G13" i="49"/>
  <c r="F13" i="49"/>
  <c r="F12" i="49"/>
  <c r="G12" i="49" s="1"/>
  <c r="G11" i="49"/>
  <c r="F11" i="49"/>
  <c r="F10" i="49"/>
  <c r="G10" i="49" s="1"/>
  <c r="G9" i="49"/>
  <c r="F9" i="49"/>
  <c r="G8" i="49"/>
  <c r="F8" i="49"/>
  <c r="F7" i="49"/>
  <c r="G7" i="49" s="1"/>
  <c r="F6" i="49"/>
  <c r="G6" i="49" s="1"/>
  <c r="G5" i="49"/>
  <c r="F5" i="49"/>
  <c r="F4" i="49"/>
  <c r="G4" i="49" s="1"/>
  <c r="F3" i="49"/>
  <c r="G3" i="49" s="1"/>
  <c r="G2" i="49"/>
  <c r="F2" i="49"/>
  <c r="G15" i="48"/>
  <c r="F15" i="48"/>
  <c r="F13" i="48"/>
  <c r="G13" i="48" s="1"/>
  <c r="G12" i="48"/>
  <c r="F12" i="48"/>
  <c r="F11" i="48"/>
  <c r="G11" i="48" s="1"/>
  <c r="F10" i="48"/>
  <c r="G10" i="48" s="1"/>
  <c r="G9" i="48"/>
  <c r="F9" i="48"/>
  <c r="G8" i="48"/>
  <c r="F8" i="48"/>
  <c r="F7" i="48"/>
  <c r="G7" i="48" s="1"/>
  <c r="G6" i="48"/>
  <c r="F6" i="48"/>
  <c r="F5" i="48"/>
  <c r="G5" i="48" s="1"/>
  <c r="G4" i="48"/>
  <c r="F4" i="48"/>
  <c r="G3" i="48"/>
  <c r="F3" i="48"/>
  <c r="F2" i="48"/>
  <c r="G2" i="48" s="1"/>
  <c r="F28" i="47"/>
  <c r="G28" i="47" s="1"/>
  <c r="G27" i="47"/>
  <c r="F27" i="47"/>
  <c r="F26" i="47"/>
  <c r="G26" i="47" s="1"/>
  <c r="F25" i="47"/>
  <c r="G25" i="47" s="1"/>
  <c r="G24" i="47"/>
  <c r="F24" i="47"/>
  <c r="F23" i="47"/>
  <c r="G23" i="47" s="1"/>
  <c r="F22" i="47"/>
  <c r="G22" i="47" s="1"/>
  <c r="G21" i="47"/>
  <c r="F21" i="47"/>
  <c r="F20" i="47"/>
  <c r="G20" i="47" s="1"/>
  <c r="G19" i="47"/>
  <c r="F19" i="47"/>
  <c r="G18" i="47"/>
  <c r="F18" i="47"/>
  <c r="G17" i="47"/>
  <c r="F17" i="47"/>
  <c r="F16" i="47"/>
  <c r="G16" i="47" s="1"/>
  <c r="G15" i="47"/>
  <c r="F15" i="47"/>
  <c r="F14" i="47"/>
  <c r="G14" i="47" s="1"/>
  <c r="G13" i="47"/>
  <c r="F13" i="47"/>
  <c r="G12" i="47"/>
  <c r="F12" i="47"/>
  <c r="F11" i="47"/>
  <c r="G11" i="47" s="1"/>
  <c r="F10" i="47"/>
  <c r="G10" i="47" s="1"/>
  <c r="G9" i="47"/>
  <c r="F9" i="47"/>
  <c r="F8" i="47"/>
  <c r="G8" i="47" s="1"/>
  <c r="F7" i="47"/>
  <c r="G7" i="47" s="1"/>
  <c r="G6" i="47"/>
  <c r="F6" i="47"/>
  <c r="G5" i="47"/>
  <c r="F5" i="47"/>
  <c r="F4" i="47"/>
  <c r="G4" i="47" s="1"/>
  <c r="G3" i="47"/>
  <c r="F3" i="47"/>
  <c r="F2" i="47"/>
  <c r="G2" i="47" s="1"/>
  <c r="F52" i="46"/>
  <c r="G52" i="46" s="1"/>
  <c r="G51" i="46"/>
  <c r="F51" i="46"/>
  <c r="G50" i="46"/>
  <c r="F50" i="46"/>
  <c r="F49" i="46"/>
  <c r="G49" i="46" s="1"/>
  <c r="G48" i="46"/>
  <c r="F48" i="46"/>
  <c r="F47" i="46"/>
  <c r="G47" i="46" s="1"/>
  <c r="G46" i="46"/>
  <c r="F46" i="46"/>
  <c r="G45" i="46"/>
  <c r="F45" i="46"/>
  <c r="F44" i="46"/>
  <c r="G44" i="46" s="1"/>
  <c r="F43" i="46"/>
  <c r="G43" i="46" s="1"/>
  <c r="G42" i="46"/>
  <c r="F42" i="46"/>
  <c r="F41" i="46"/>
  <c r="G41" i="46" s="1"/>
  <c r="F40" i="46"/>
  <c r="G40" i="46" s="1"/>
  <c r="G39" i="46"/>
  <c r="F39" i="46"/>
  <c r="F38" i="46"/>
  <c r="G38" i="46" s="1"/>
  <c r="F37" i="46"/>
  <c r="G37" i="46" s="1"/>
  <c r="G36" i="46"/>
  <c r="F36" i="46"/>
  <c r="F35" i="46"/>
  <c r="G35" i="46" s="1"/>
  <c r="G34" i="46"/>
  <c r="F34" i="46"/>
  <c r="G33" i="46"/>
  <c r="F33" i="46"/>
  <c r="G32" i="46"/>
  <c r="F32" i="46"/>
  <c r="F31" i="46"/>
  <c r="G30" i="46"/>
  <c r="F30" i="46"/>
  <c r="F29" i="46"/>
  <c r="G29" i="46" s="1"/>
  <c r="F28" i="46"/>
  <c r="G28" i="46" s="1"/>
  <c r="G27" i="46"/>
  <c r="F27" i="46"/>
  <c r="F26" i="46"/>
  <c r="G26" i="46" s="1"/>
  <c r="G25" i="46"/>
  <c r="F25" i="46"/>
  <c r="G24" i="46"/>
  <c r="F24" i="46"/>
  <c r="F23" i="46"/>
  <c r="G23" i="46" s="1"/>
  <c r="F22" i="46"/>
  <c r="G22" i="46" s="1"/>
  <c r="G21" i="46"/>
  <c r="F21" i="46"/>
  <c r="F20" i="46"/>
  <c r="G20" i="46" s="1"/>
  <c r="G19" i="46"/>
  <c r="F19" i="46"/>
  <c r="G18" i="46"/>
  <c r="F18" i="46"/>
  <c r="D18" i="46"/>
  <c r="F17" i="46"/>
  <c r="G17" i="46" s="1"/>
  <c r="F16" i="46"/>
  <c r="G15" i="46"/>
  <c r="F15" i="46"/>
  <c r="F14" i="46"/>
  <c r="G14" i="46" s="1"/>
  <c r="G13" i="46"/>
  <c r="F13" i="46"/>
  <c r="F12" i="46"/>
  <c r="G12" i="46" s="1"/>
  <c r="G11" i="46"/>
  <c r="F11" i="46"/>
  <c r="F10" i="46"/>
  <c r="G10" i="46" s="1"/>
  <c r="G9" i="46"/>
  <c r="F9" i="46"/>
  <c r="F8" i="46"/>
  <c r="G8" i="46" s="1"/>
  <c r="G7" i="46"/>
  <c r="F7" i="46"/>
  <c r="F6" i="46"/>
  <c r="G6" i="46" s="1"/>
  <c r="G5" i="46"/>
  <c r="F5" i="46"/>
  <c r="F4" i="46"/>
  <c r="G4" i="46" s="1"/>
  <c r="G3" i="46"/>
  <c r="F3" i="46"/>
  <c r="F2" i="46"/>
  <c r="G2" i="46" s="1"/>
  <c r="G5" i="45"/>
  <c r="F5" i="45"/>
  <c r="G4" i="45"/>
  <c r="F4" i="45"/>
  <c r="G3" i="45"/>
  <c r="F3" i="45"/>
  <c r="F2" i="45"/>
  <c r="G2" i="45" s="1"/>
  <c r="G8" i="44"/>
  <c r="F8" i="44"/>
  <c r="F7" i="44"/>
  <c r="G7" i="44" s="1"/>
  <c r="G6" i="44"/>
  <c r="F6" i="44"/>
  <c r="F5" i="44"/>
  <c r="G5" i="44" s="1"/>
  <c r="G4" i="44"/>
  <c r="F4" i="44"/>
  <c r="F3" i="44"/>
  <c r="G3" i="44" s="1"/>
  <c r="G2" i="44"/>
  <c r="F2" i="44"/>
  <c r="F13" i="43"/>
  <c r="G13" i="43" s="1"/>
  <c r="G12" i="43"/>
  <c r="F12" i="43"/>
  <c r="G11" i="43"/>
  <c r="F11" i="43"/>
  <c r="G10" i="43"/>
  <c r="F10" i="43"/>
  <c r="F9" i="43"/>
  <c r="G9" i="43" s="1"/>
  <c r="G8" i="43"/>
  <c r="F8" i="43"/>
  <c r="F7" i="43"/>
  <c r="G7" i="43" s="1"/>
  <c r="G6" i="43"/>
  <c r="F6" i="43"/>
  <c r="G5" i="43"/>
  <c r="F5" i="43"/>
  <c r="G4" i="43"/>
  <c r="F4" i="43"/>
  <c r="F3" i="43"/>
  <c r="G3" i="43" s="1"/>
  <c r="G2" i="43"/>
  <c r="F2" i="43"/>
  <c r="L15" i="42"/>
  <c r="M15" i="42" s="1"/>
  <c r="M14" i="42"/>
  <c r="L14" i="42"/>
  <c r="L13" i="42"/>
  <c r="M13" i="42" s="1"/>
  <c r="M12" i="42"/>
  <c r="L12" i="42"/>
  <c r="L11" i="42"/>
  <c r="M11" i="42" s="1"/>
  <c r="M10" i="42"/>
  <c r="L10" i="42"/>
  <c r="L9" i="42"/>
  <c r="M9" i="42" s="1"/>
  <c r="M8" i="42"/>
  <c r="L8" i="42"/>
  <c r="L7" i="42"/>
  <c r="M7" i="42" s="1"/>
  <c r="L6" i="42"/>
  <c r="M6" i="42" s="1"/>
  <c r="L5" i="42"/>
  <c r="M5" i="42" s="1"/>
  <c r="M4" i="42"/>
  <c r="L4" i="42"/>
  <c r="L3" i="42"/>
  <c r="M3" i="42" s="1"/>
  <c r="M2" i="42"/>
  <c r="L2" i="42"/>
  <c r="F25" i="41"/>
  <c r="G25" i="41" s="1"/>
  <c r="F24" i="41"/>
  <c r="G24" i="41" s="1"/>
  <c r="F23" i="41"/>
  <c r="G23" i="41" s="1"/>
  <c r="G22" i="41"/>
  <c r="F22" i="41"/>
  <c r="F21" i="41"/>
  <c r="G21" i="41" s="1"/>
  <c r="G20" i="41"/>
  <c r="F20" i="41"/>
  <c r="F19" i="41"/>
  <c r="G19" i="41" s="1"/>
  <c r="F18" i="41"/>
  <c r="G18" i="41" s="1"/>
  <c r="F17" i="41"/>
  <c r="G17" i="41" s="1"/>
  <c r="G16" i="41"/>
  <c r="F16" i="41"/>
  <c r="F15" i="41"/>
  <c r="G15" i="41" s="1"/>
  <c r="G14" i="41"/>
  <c r="F14" i="41"/>
  <c r="G13" i="41"/>
  <c r="F13" i="41"/>
  <c r="F12" i="41"/>
  <c r="G12" i="41" s="1"/>
  <c r="F11" i="41"/>
  <c r="G11" i="41" s="1"/>
  <c r="F10" i="41"/>
  <c r="G9" i="41"/>
  <c r="F9" i="41"/>
  <c r="G8" i="41"/>
  <c r="F8" i="41"/>
  <c r="F7" i="41"/>
  <c r="G7" i="41" s="1"/>
  <c r="G6" i="41"/>
  <c r="F6" i="41"/>
  <c r="F5" i="41"/>
  <c r="G5" i="41" s="1"/>
  <c r="G4" i="41"/>
  <c r="F4" i="41"/>
  <c r="G3" i="41"/>
  <c r="F3" i="41"/>
  <c r="F2" i="41"/>
  <c r="G2" i="41" s="1"/>
  <c r="J55" i="40"/>
  <c r="K55" i="40" s="1"/>
  <c r="I55" i="40"/>
  <c r="F55" i="40"/>
  <c r="F54" i="40"/>
  <c r="J54" i="40" s="1"/>
  <c r="K54" i="40" s="1"/>
  <c r="K53" i="40"/>
  <c r="J53" i="40"/>
  <c r="F53" i="40"/>
  <c r="J52" i="40"/>
  <c r="K52" i="40" s="1"/>
  <c r="I52" i="40"/>
  <c r="F52" i="40"/>
  <c r="F51" i="40"/>
  <c r="J51" i="40" s="1"/>
  <c r="K51" i="40" s="1"/>
  <c r="I50" i="40"/>
  <c r="J50" i="40" s="1"/>
  <c r="K50" i="40" s="1"/>
  <c r="F50" i="40"/>
  <c r="F49" i="40"/>
  <c r="J49" i="40" s="1"/>
  <c r="K49" i="40" s="1"/>
  <c r="I48" i="40"/>
  <c r="J48" i="40" s="1"/>
  <c r="K48" i="40" s="1"/>
  <c r="F48" i="40"/>
  <c r="F47" i="40"/>
  <c r="J47" i="40" s="1"/>
  <c r="K47" i="40" s="1"/>
  <c r="H46" i="40"/>
  <c r="G46" i="40"/>
  <c r="E46" i="40"/>
  <c r="F46" i="40" s="1"/>
  <c r="D46" i="40"/>
  <c r="I45" i="40"/>
  <c r="F45" i="40"/>
  <c r="J45" i="40" s="1"/>
  <c r="K45" i="40" s="1"/>
  <c r="I44" i="40"/>
  <c r="F44" i="40"/>
  <c r="J44" i="40" s="1"/>
  <c r="K44" i="40" s="1"/>
  <c r="I43" i="40"/>
  <c r="J43" i="40" s="1"/>
  <c r="K43" i="40" s="1"/>
  <c r="F43" i="40"/>
  <c r="I42" i="40"/>
  <c r="F42" i="40"/>
  <c r="J42" i="40" s="1"/>
  <c r="K42" i="40" s="1"/>
  <c r="I41" i="40"/>
  <c r="F41" i="40"/>
  <c r="J41" i="40" s="1"/>
  <c r="K41" i="40" s="1"/>
  <c r="I40" i="40"/>
  <c r="J40" i="40" s="1"/>
  <c r="K40" i="40" s="1"/>
  <c r="H40" i="40"/>
  <c r="G40" i="40"/>
  <c r="E40" i="40"/>
  <c r="D40" i="40"/>
  <c r="F40" i="40" s="1"/>
  <c r="K39" i="40"/>
  <c r="J39" i="40"/>
  <c r="F39" i="40"/>
  <c r="I38" i="40"/>
  <c r="F38" i="40"/>
  <c r="J38" i="40" s="1"/>
  <c r="K38" i="40" s="1"/>
  <c r="H37" i="40"/>
  <c r="G37" i="40"/>
  <c r="F37" i="40"/>
  <c r="E37" i="40"/>
  <c r="D37" i="40"/>
  <c r="I36" i="40"/>
  <c r="F36" i="40"/>
  <c r="J36" i="40" s="1"/>
  <c r="K36" i="40" s="1"/>
  <c r="I35" i="40"/>
  <c r="I37" i="40" s="1"/>
  <c r="F35" i="40"/>
  <c r="J35" i="40" s="1"/>
  <c r="K35" i="40" s="1"/>
  <c r="H34" i="40"/>
  <c r="G34" i="40"/>
  <c r="E34" i="40"/>
  <c r="F34" i="40" s="1"/>
  <c r="J34" i="40" s="1"/>
  <c r="K34" i="40" s="1"/>
  <c r="D34" i="40"/>
  <c r="K33" i="40"/>
  <c r="I33" i="40"/>
  <c r="E33" i="40"/>
  <c r="F33" i="40" s="1"/>
  <c r="J33" i="40" s="1"/>
  <c r="K32" i="40"/>
  <c r="I32" i="40"/>
  <c r="F32" i="40"/>
  <c r="J32" i="40" s="1"/>
  <c r="J31" i="40"/>
  <c r="K31" i="40" s="1"/>
  <c r="I31" i="40"/>
  <c r="I34" i="40" s="1"/>
  <c r="F31" i="40"/>
  <c r="F30" i="40"/>
  <c r="J30" i="40" s="1"/>
  <c r="K30" i="40" s="1"/>
  <c r="I29" i="40"/>
  <c r="H29" i="40"/>
  <c r="G29" i="40"/>
  <c r="F29" i="40"/>
  <c r="J29" i="40" s="1"/>
  <c r="K29" i="40" s="1"/>
  <c r="E29" i="40"/>
  <c r="D29" i="40"/>
  <c r="K28" i="40"/>
  <c r="I28" i="40"/>
  <c r="F28" i="40"/>
  <c r="J28" i="40" s="1"/>
  <c r="K27" i="40"/>
  <c r="J27" i="40"/>
  <c r="F27" i="40"/>
  <c r="J26" i="40"/>
  <c r="K26" i="40" s="1"/>
  <c r="F26" i="40"/>
  <c r="K25" i="40"/>
  <c r="J25" i="40"/>
  <c r="F25" i="40"/>
  <c r="H24" i="40"/>
  <c r="G24" i="40"/>
  <c r="F24" i="40"/>
  <c r="J24" i="40" s="1"/>
  <c r="K24" i="40" s="1"/>
  <c r="E24" i="40"/>
  <c r="I23" i="40"/>
  <c r="I24" i="40" s="1"/>
  <c r="F23" i="40"/>
  <c r="J23" i="40" s="1"/>
  <c r="K23" i="40" s="1"/>
  <c r="I22" i="40"/>
  <c r="F22" i="40"/>
  <c r="J22" i="40" s="1"/>
  <c r="K22" i="40" s="1"/>
  <c r="H21" i="40"/>
  <c r="G21" i="40"/>
  <c r="E21" i="40"/>
  <c r="F21" i="40" s="1"/>
  <c r="J21" i="40" s="1"/>
  <c r="K21" i="40" s="1"/>
  <c r="D21" i="40"/>
  <c r="J20" i="40"/>
  <c r="F20" i="40"/>
  <c r="I19" i="40"/>
  <c r="I21" i="40" s="1"/>
  <c r="F19" i="40"/>
  <c r="J19" i="40" s="1"/>
  <c r="K19" i="40" s="1"/>
  <c r="I18" i="40"/>
  <c r="F18" i="40"/>
  <c r="J17" i="40"/>
  <c r="K17" i="40" s="1"/>
  <c r="F17" i="40"/>
  <c r="I16" i="40"/>
  <c r="F16" i="40"/>
  <c r="J16" i="40" s="1"/>
  <c r="K16" i="40" s="1"/>
  <c r="J15" i="40"/>
  <c r="F15" i="40"/>
  <c r="I14" i="40"/>
  <c r="F14" i="40"/>
  <c r="J14" i="40" s="1"/>
  <c r="K14" i="40" s="1"/>
  <c r="K13" i="40"/>
  <c r="J13" i="40"/>
  <c r="I13" i="40"/>
  <c r="F13" i="40"/>
  <c r="I12" i="40"/>
  <c r="J12" i="40" s="1"/>
  <c r="K12" i="40" s="1"/>
  <c r="H12" i="40"/>
  <c r="G12" i="40"/>
  <c r="F12" i="40"/>
  <c r="E12" i="40"/>
  <c r="D12" i="40"/>
  <c r="K11" i="40"/>
  <c r="J11" i="40"/>
  <c r="F11" i="40"/>
  <c r="F10" i="40"/>
  <c r="J10" i="40" s="1"/>
  <c r="K10" i="40" s="1"/>
  <c r="K9" i="40"/>
  <c r="I9" i="40"/>
  <c r="F9" i="40"/>
  <c r="J9" i="40" s="1"/>
  <c r="I8" i="40"/>
  <c r="F8" i="40"/>
  <c r="J8" i="40" s="1"/>
  <c r="K8" i="40" s="1"/>
  <c r="F7" i="40"/>
  <c r="J7" i="40" s="1"/>
  <c r="K7" i="40" s="1"/>
  <c r="K6" i="40"/>
  <c r="J6" i="40"/>
  <c r="H6" i="40"/>
  <c r="G6" i="40"/>
  <c r="F6" i="40"/>
  <c r="E6" i="40"/>
  <c r="D6" i="40"/>
  <c r="K5" i="40"/>
  <c r="I5" i="40"/>
  <c r="F5" i="40"/>
  <c r="J5" i="40" s="1"/>
  <c r="K4" i="40"/>
  <c r="J4" i="40"/>
  <c r="I4" i="40"/>
  <c r="J3" i="40"/>
  <c r="K3" i="40" s="1"/>
  <c r="F3" i="40"/>
  <c r="J2" i="40"/>
  <c r="K2" i="40" s="1"/>
  <c r="I2" i="40"/>
  <c r="I6" i="40" s="1"/>
  <c r="F2" i="40"/>
  <c r="F15" i="39"/>
  <c r="G15" i="39" s="1"/>
  <c r="F14" i="39"/>
  <c r="G14" i="39" s="1"/>
  <c r="G13" i="39"/>
  <c r="F13" i="39"/>
  <c r="F12" i="39"/>
  <c r="G12" i="39" s="1"/>
  <c r="F11" i="39"/>
  <c r="G11" i="39" s="1"/>
  <c r="G10" i="39"/>
  <c r="F10" i="39"/>
  <c r="F9" i="39"/>
  <c r="G9" i="39" s="1"/>
  <c r="G8" i="39"/>
  <c r="F8" i="39"/>
  <c r="G7" i="39"/>
  <c r="F7" i="39"/>
  <c r="F6" i="39"/>
  <c r="G6" i="39" s="1"/>
  <c r="G5" i="39"/>
  <c r="F5" i="39"/>
  <c r="G4" i="39"/>
  <c r="F4" i="39"/>
  <c r="F3" i="39"/>
  <c r="G3" i="39" s="1"/>
  <c r="F2" i="39"/>
  <c r="G2" i="39" s="1"/>
  <c r="M14" i="38"/>
  <c r="L14" i="38"/>
  <c r="M13" i="38"/>
  <c r="L13" i="38"/>
  <c r="L12" i="38"/>
  <c r="M12" i="38" s="1"/>
  <c r="M11" i="38"/>
  <c r="L11" i="38"/>
  <c r="L10" i="38"/>
  <c r="M10" i="38" s="1"/>
  <c r="L9" i="38"/>
  <c r="M9" i="38" s="1"/>
  <c r="M8" i="38"/>
  <c r="L8" i="38"/>
  <c r="M7" i="38"/>
  <c r="L7" i="38"/>
  <c r="L6" i="38"/>
  <c r="L5" i="38"/>
  <c r="M5" i="38" s="1"/>
  <c r="L4" i="38"/>
  <c r="M4" i="38" s="1"/>
  <c r="L3" i="38"/>
  <c r="M3" i="38" s="1"/>
  <c r="M2" i="38"/>
  <c r="L2" i="38"/>
  <c r="F32" i="37"/>
  <c r="G32" i="37" s="1"/>
  <c r="G31" i="37"/>
  <c r="F31" i="37"/>
  <c r="G30" i="37"/>
  <c r="F30" i="37"/>
  <c r="D30" i="37"/>
  <c r="F29" i="37"/>
  <c r="G29" i="37" s="1"/>
  <c r="G28" i="37"/>
  <c r="F28" i="37"/>
  <c r="G27" i="37"/>
  <c r="F27" i="37"/>
  <c r="F26" i="37"/>
  <c r="G26" i="37" s="1"/>
  <c r="G25" i="37"/>
  <c r="F25" i="37"/>
  <c r="G24" i="37"/>
  <c r="F24" i="37"/>
  <c r="F23" i="37"/>
  <c r="G23" i="37" s="1"/>
  <c r="F22" i="37"/>
  <c r="G22" i="37" s="1"/>
  <c r="G21" i="37"/>
  <c r="F21" i="37"/>
  <c r="G20" i="37"/>
  <c r="F20" i="37"/>
  <c r="F19" i="37"/>
  <c r="G19" i="37" s="1"/>
  <c r="G18" i="37"/>
  <c r="F18" i="37"/>
  <c r="F17" i="37"/>
  <c r="G17" i="37" s="1"/>
  <c r="F16" i="37"/>
  <c r="G16" i="37" s="1"/>
  <c r="G15" i="37"/>
  <c r="F15" i="37"/>
  <c r="F14" i="37"/>
  <c r="G14" i="37" s="1"/>
  <c r="F13" i="37"/>
  <c r="G13" i="37" s="1"/>
  <c r="G12" i="37"/>
  <c r="D12" i="37"/>
  <c r="F12" i="37" s="1"/>
  <c r="F11" i="37"/>
  <c r="G11" i="37" s="1"/>
  <c r="G10" i="37"/>
  <c r="F10" i="37"/>
  <c r="F9" i="37"/>
  <c r="G9" i="37" s="1"/>
  <c r="G8" i="37"/>
  <c r="F8" i="37"/>
  <c r="F7" i="37"/>
  <c r="G7" i="37" s="1"/>
  <c r="F6" i="37"/>
  <c r="G6" i="37" s="1"/>
  <c r="F5" i="37"/>
  <c r="G5" i="37" s="1"/>
  <c r="F4" i="37"/>
  <c r="G3" i="37"/>
  <c r="F3" i="37"/>
  <c r="G2" i="37"/>
  <c r="F2" i="37"/>
  <c r="F42" i="36"/>
  <c r="G42" i="36" s="1"/>
  <c r="G41" i="36"/>
  <c r="F41" i="36"/>
  <c r="F40" i="36"/>
  <c r="G40" i="36" s="1"/>
  <c r="F39" i="36"/>
  <c r="G39" i="36" s="1"/>
  <c r="G38" i="36"/>
  <c r="F38" i="36"/>
  <c r="G37" i="36"/>
  <c r="F37" i="36"/>
  <c r="F36" i="36"/>
  <c r="G36" i="36" s="1"/>
  <c r="G35" i="36"/>
  <c r="F35" i="36"/>
  <c r="F34" i="36"/>
  <c r="G34" i="36" s="1"/>
  <c r="G33" i="36"/>
  <c r="F33" i="36"/>
  <c r="G32" i="36"/>
  <c r="F32" i="36"/>
  <c r="F31" i="36"/>
  <c r="G31" i="36" s="1"/>
  <c r="G30" i="36"/>
  <c r="F30" i="36"/>
  <c r="G29" i="36"/>
  <c r="F29" i="36"/>
  <c r="F28" i="36"/>
  <c r="G28" i="36" s="1"/>
  <c r="F27" i="36"/>
  <c r="G27" i="36" s="1"/>
  <c r="G26" i="36"/>
  <c r="F26" i="36"/>
  <c r="G25" i="36"/>
  <c r="F25" i="36"/>
  <c r="G24" i="36"/>
  <c r="F24" i="36"/>
  <c r="G23" i="36"/>
  <c r="F23" i="36"/>
  <c r="F22" i="36"/>
  <c r="G22" i="36" s="1"/>
  <c r="F21" i="36"/>
  <c r="G21" i="36" s="1"/>
  <c r="G20" i="36"/>
  <c r="F20" i="36"/>
  <c r="F19" i="36"/>
  <c r="G19" i="36" s="1"/>
  <c r="F18" i="36"/>
  <c r="G18" i="36" s="1"/>
  <c r="G17" i="36"/>
  <c r="F17" i="36"/>
  <c r="F16" i="36"/>
  <c r="G16" i="36" s="1"/>
  <c r="G15" i="36"/>
  <c r="F15" i="36"/>
  <c r="G14" i="36"/>
  <c r="F14" i="36"/>
  <c r="F13" i="36"/>
  <c r="G13" i="36" s="1"/>
  <c r="G12" i="36"/>
  <c r="F12" i="36"/>
  <c r="G11" i="36"/>
  <c r="F11" i="36"/>
  <c r="F10" i="36"/>
  <c r="G10" i="36" s="1"/>
  <c r="F9" i="36"/>
  <c r="G9" i="36" s="1"/>
  <c r="G8" i="36"/>
  <c r="F8" i="36"/>
  <c r="G7" i="36"/>
  <c r="F7" i="36"/>
  <c r="F6" i="36"/>
  <c r="G6" i="36" s="1"/>
  <c r="G5" i="36"/>
  <c r="F5" i="36"/>
  <c r="F4" i="36"/>
  <c r="G4" i="36" s="1"/>
  <c r="F3" i="36"/>
  <c r="G3" i="36" s="1"/>
  <c r="G2" i="36"/>
  <c r="F2" i="36"/>
  <c r="F15" i="35"/>
  <c r="G15" i="35" s="1"/>
  <c r="F14" i="35"/>
  <c r="G14" i="35" s="1"/>
  <c r="G13" i="35"/>
  <c r="F13" i="35"/>
  <c r="F12" i="35"/>
  <c r="G12" i="35" s="1"/>
  <c r="G11" i="35"/>
  <c r="F11" i="35"/>
  <c r="F10" i="35"/>
  <c r="F9" i="35"/>
  <c r="G9" i="35" s="1"/>
  <c r="F8" i="35"/>
  <c r="G8" i="35" s="1"/>
  <c r="G7" i="35"/>
  <c r="F7" i="35"/>
  <c r="G6" i="35"/>
  <c r="F6" i="35"/>
  <c r="F5" i="35"/>
  <c r="G5" i="35" s="1"/>
  <c r="G4" i="35"/>
  <c r="F4" i="35"/>
  <c r="F3" i="35"/>
  <c r="G2" i="35"/>
  <c r="F2" i="35"/>
  <c r="F22" i="34"/>
  <c r="G22" i="34" s="1"/>
  <c r="G21" i="34"/>
  <c r="F21" i="34"/>
  <c r="F20" i="34"/>
  <c r="G20" i="34" s="1"/>
  <c r="G19" i="34"/>
  <c r="F19" i="34"/>
  <c r="G18" i="34"/>
  <c r="F18" i="34"/>
  <c r="F17" i="34"/>
  <c r="G17" i="34" s="1"/>
  <c r="G16" i="34"/>
  <c r="F16" i="34"/>
  <c r="G15" i="34"/>
  <c r="F15" i="34"/>
  <c r="F14" i="34"/>
  <c r="G14" i="34" s="1"/>
  <c r="F13" i="34"/>
  <c r="G13" i="34" s="1"/>
  <c r="G12" i="34"/>
  <c r="F12" i="34"/>
  <c r="G11" i="34"/>
  <c r="F11" i="34"/>
  <c r="G10" i="34"/>
  <c r="F10" i="34"/>
  <c r="G9" i="34"/>
  <c r="F9" i="34"/>
  <c r="F8" i="34"/>
  <c r="G8" i="34" s="1"/>
  <c r="F7" i="34"/>
  <c r="G7" i="34" s="1"/>
  <c r="G6" i="34"/>
  <c r="F6" i="34"/>
  <c r="G5" i="34"/>
  <c r="F5" i="34"/>
  <c r="F4" i="34"/>
  <c r="G4" i="34" s="1"/>
  <c r="G3" i="34"/>
  <c r="F3" i="34"/>
  <c r="F2" i="34"/>
  <c r="G2" i="34" s="1"/>
  <c r="G11" i="33"/>
  <c r="F11" i="33"/>
  <c r="G10" i="33"/>
  <c r="F10" i="33"/>
  <c r="F9" i="33"/>
  <c r="G9" i="33" s="1"/>
  <c r="G8" i="33"/>
  <c r="F8" i="33"/>
  <c r="G7" i="33"/>
  <c r="F7" i="33"/>
  <c r="F6" i="33"/>
  <c r="G6" i="33" s="1"/>
  <c r="F5" i="33"/>
  <c r="G5" i="33" s="1"/>
  <c r="G4" i="33"/>
  <c r="F4" i="33"/>
  <c r="G3" i="33"/>
  <c r="F3" i="33"/>
  <c r="G2" i="33"/>
  <c r="F2" i="33"/>
  <c r="M62" i="32"/>
  <c r="L62" i="32"/>
  <c r="J62" i="32"/>
  <c r="I62" i="32"/>
  <c r="H62" i="32"/>
  <c r="M61" i="32"/>
  <c r="L61" i="32"/>
  <c r="L60" i="32"/>
  <c r="M60" i="32" s="1"/>
  <c r="G59" i="32"/>
  <c r="L59" i="32" s="1"/>
  <c r="M59" i="32" s="1"/>
  <c r="M58" i="32"/>
  <c r="G58" i="32"/>
  <c r="L58" i="32" s="1"/>
  <c r="L57" i="32"/>
  <c r="M57" i="32" s="1"/>
  <c r="G57" i="32"/>
  <c r="G56" i="32"/>
  <c r="L56" i="32" s="1"/>
  <c r="M56" i="32" s="1"/>
  <c r="G55" i="32"/>
  <c r="L55" i="32" s="1"/>
  <c r="M55" i="32" s="1"/>
  <c r="M54" i="32"/>
  <c r="G54" i="32"/>
  <c r="L54" i="32" s="1"/>
  <c r="G53" i="32"/>
  <c r="L53" i="32" s="1"/>
  <c r="M53" i="32" s="1"/>
  <c r="G52" i="32"/>
  <c r="L52" i="32" s="1"/>
  <c r="M52" i="32" s="1"/>
  <c r="G51" i="32"/>
  <c r="L51" i="32" s="1"/>
  <c r="M51" i="32" s="1"/>
  <c r="M50" i="32"/>
  <c r="G50" i="32"/>
  <c r="L50" i="32" s="1"/>
  <c r="K49" i="32"/>
  <c r="L49" i="32" s="1"/>
  <c r="M49" i="32" s="1"/>
  <c r="J49" i="32"/>
  <c r="I49" i="32"/>
  <c r="H49" i="32"/>
  <c r="G49" i="32"/>
  <c r="L48" i="32"/>
  <c r="M48" i="32" s="1"/>
  <c r="G48" i="32"/>
  <c r="L47" i="32"/>
  <c r="M47" i="32" s="1"/>
  <c r="K47" i="32"/>
  <c r="J47" i="32"/>
  <c r="I47" i="32"/>
  <c r="H47" i="32"/>
  <c r="G47" i="32"/>
  <c r="L46" i="32"/>
  <c r="M46" i="32" s="1"/>
  <c r="G46" i="32"/>
  <c r="M45" i="32"/>
  <c r="L45" i="32"/>
  <c r="G45" i="32"/>
  <c r="G44" i="32"/>
  <c r="L44" i="32" s="1"/>
  <c r="M44" i="32" s="1"/>
  <c r="M43" i="32"/>
  <c r="L43" i="32"/>
  <c r="G43" i="32"/>
  <c r="G42" i="32"/>
  <c r="L42" i="32" s="1"/>
  <c r="M42" i="32" s="1"/>
  <c r="M41" i="32"/>
  <c r="L41" i="32"/>
  <c r="G41" i="32"/>
  <c r="G40" i="32"/>
  <c r="L40" i="32" s="1"/>
  <c r="M40" i="32" s="1"/>
  <c r="L39" i="32"/>
  <c r="M39" i="32" s="1"/>
  <c r="G39" i="32"/>
  <c r="G38" i="32"/>
  <c r="L38" i="32" s="1"/>
  <c r="M38" i="32" s="1"/>
  <c r="L37" i="32"/>
  <c r="M37" i="32" s="1"/>
  <c r="G37" i="32"/>
  <c r="G36" i="32"/>
  <c r="L36" i="32" s="1"/>
  <c r="M36" i="32" s="1"/>
  <c r="L35" i="32"/>
  <c r="M35" i="32" s="1"/>
  <c r="G35" i="32"/>
  <c r="L34" i="32"/>
  <c r="M34" i="32" s="1"/>
  <c r="G34" i="32"/>
  <c r="L33" i="32"/>
  <c r="M33" i="32" s="1"/>
  <c r="G33" i="32"/>
  <c r="G32" i="32"/>
  <c r="L32" i="32" s="1"/>
  <c r="M32" i="32" s="1"/>
  <c r="M31" i="32"/>
  <c r="L31" i="32"/>
  <c r="G31" i="32"/>
  <c r="M30" i="32"/>
  <c r="G30" i="32"/>
  <c r="L30" i="32" s="1"/>
  <c r="M29" i="32"/>
  <c r="L29" i="32"/>
  <c r="G29" i="32"/>
  <c r="G28" i="32"/>
  <c r="L28" i="32" s="1"/>
  <c r="M28" i="32" s="1"/>
  <c r="L27" i="32"/>
  <c r="M27" i="32" s="1"/>
  <c r="G27" i="32"/>
  <c r="G26" i="32"/>
  <c r="L26" i="32" s="1"/>
  <c r="M26" i="32" s="1"/>
  <c r="G25" i="32"/>
  <c r="K24" i="32"/>
  <c r="K25" i="32" s="1"/>
  <c r="L25" i="32" s="1"/>
  <c r="M25" i="32" s="1"/>
  <c r="J24" i="32"/>
  <c r="I24" i="32"/>
  <c r="H24" i="32"/>
  <c r="G24" i="32"/>
  <c r="L23" i="32"/>
  <c r="G23" i="32"/>
  <c r="G22" i="32"/>
  <c r="L22" i="32" s="1"/>
  <c r="M22" i="32" s="1"/>
  <c r="M21" i="32"/>
  <c r="K21" i="32"/>
  <c r="J21" i="32"/>
  <c r="I21" i="32"/>
  <c r="H21" i="32"/>
  <c r="G21" i="32"/>
  <c r="L21" i="32" s="1"/>
  <c r="M20" i="32"/>
  <c r="L20" i="32"/>
  <c r="G20" i="32"/>
  <c r="K19" i="32"/>
  <c r="I19" i="32"/>
  <c r="G19" i="32"/>
  <c r="L19" i="32" s="1"/>
  <c r="M19" i="32" s="1"/>
  <c r="K18" i="32"/>
  <c r="J18" i="32"/>
  <c r="J19" i="32" s="1"/>
  <c r="I18" i="32"/>
  <c r="H18" i="32"/>
  <c r="H19" i="32" s="1"/>
  <c r="H25" i="32" s="1"/>
  <c r="G18" i="32"/>
  <c r="L18" i="32" s="1"/>
  <c r="M18" i="32" s="1"/>
  <c r="G17" i="32"/>
  <c r="L17" i="32" s="1"/>
  <c r="M17" i="32" s="1"/>
  <c r="L16" i="32"/>
  <c r="G16" i="32"/>
  <c r="L15" i="32"/>
  <c r="M15" i="32" s="1"/>
  <c r="G15" i="32"/>
  <c r="G14" i="32"/>
  <c r="L14" i="32" s="1"/>
  <c r="M14" i="32" s="1"/>
  <c r="M13" i="32"/>
  <c r="L13" i="32"/>
  <c r="G13" i="32"/>
  <c r="M12" i="32"/>
  <c r="G12" i="32"/>
  <c r="L12" i="32" s="1"/>
  <c r="M11" i="32"/>
  <c r="L11" i="32"/>
  <c r="G11" i="32"/>
  <c r="G10" i="32"/>
  <c r="L10" i="32" s="1"/>
  <c r="M10" i="32" s="1"/>
  <c r="L9" i="32"/>
  <c r="M9" i="32" s="1"/>
  <c r="G9" i="32"/>
  <c r="G8" i="32"/>
  <c r="L8" i="32" s="1"/>
  <c r="M8" i="32" s="1"/>
  <c r="L7" i="32"/>
  <c r="M7" i="32" s="1"/>
  <c r="G7" i="32"/>
  <c r="G6" i="32"/>
  <c r="L6" i="32" s="1"/>
  <c r="M6" i="32" s="1"/>
  <c r="L5" i="32"/>
  <c r="M5" i="32" s="1"/>
  <c r="G5" i="32"/>
  <c r="M4" i="32"/>
  <c r="L4" i="32"/>
  <c r="G4" i="32"/>
  <c r="M3" i="32"/>
  <c r="L3" i="32"/>
  <c r="G3" i="32"/>
  <c r="G2" i="32"/>
  <c r="L2" i="32" s="1"/>
  <c r="M2" i="32" s="1"/>
  <c r="M35" i="31"/>
  <c r="L35" i="31"/>
  <c r="L34" i="31"/>
  <c r="M34" i="31" s="1"/>
  <c r="K33" i="31"/>
  <c r="G33" i="31"/>
  <c r="L33" i="31" s="1"/>
  <c r="M33" i="31" s="1"/>
  <c r="K32" i="31"/>
  <c r="G32" i="31"/>
  <c r="L32" i="31" s="1"/>
  <c r="M32" i="31" s="1"/>
  <c r="M31" i="31"/>
  <c r="K31" i="31"/>
  <c r="G31" i="31"/>
  <c r="L31" i="31" s="1"/>
  <c r="K30" i="31"/>
  <c r="L30" i="31" s="1"/>
  <c r="M30" i="31" s="1"/>
  <c r="G30" i="31"/>
  <c r="M29" i="31"/>
  <c r="K29" i="31"/>
  <c r="G29" i="31"/>
  <c r="L29" i="31" s="1"/>
  <c r="L28" i="31"/>
  <c r="M28" i="31" s="1"/>
  <c r="K28" i="31"/>
  <c r="G28" i="31"/>
  <c r="K27" i="31"/>
  <c r="G27" i="31"/>
  <c r="L27" i="31" s="1"/>
  <c r="M27" i="31" s="1"/>
  <c r="K26" i="31"/>
  <c r="G26" i="31"/>
  <c r="L26" i="31" s="1"/>
  <c r="M26" i="31" s="1"/>
  <c r="L25" i="31"/>
  <c r="M25" i="31" s="1"/>
  <c r="K25" i="31"/>
  <c r="G25" i="31"/>
  <c r="K24" i="31"/>
  <c r="G24" i="31"/>
  <c r="L24" i="31" s="1"/>
  <c r="L23" i="31"/>
  <c r="M23" i="31" s="1"/>
  <c r="K23" i="31"/>
  <c r="G23" i="31"/>
  <c r="K22" i="31"/>
  <c r="G22" i="31"/>
  <c r="K21" i="31"/>
  <c r="G21" i="31"/>
  <c r="L21" i="31" s="1"/>
  <c r="K20" i="31"/>
  <c r="G20" i="31"/>
  <c r="L20" i="31" s="1"/>
  <c r="K19" i="31"/>
  <c r="G19" i="31"/>
  <c r="L19" i="31" s="1"/>
  <c r="K18" i="31"/>
  <c r="L18" i="31" s="1"/>
  <c r="M18" i="31" s="1"/>
  <c r="G18" i="31"/>
  <c r="L17" i="31"/>
  <c r="M17" i="31" s="1"/>
  <c r="K17" i="31"/>
  <c r="G17" i="31"/>
  <c r="K16" i="31"/>
  <c r="G16" i="31"/>
  <c r="L16" i="31" s="1"/>
  <c r="M16" i="31" s="1"/>
  <c r="L15" i="31"/>
  <c r="M15" i="31" s="1"/>
  <c r="K15" i="31"/>
  <c r="G15" i="31"/>
  <c r="K14" i="31"/>
  <c r="F14" i="31"/>
  <c r="K13" i="31"/>
  <c r="G13" i="31"/>
  <c r="K12" i="31"/>
  <c r="G12" i="31"/>
  <c r="L12" i="31" s="1"/>
  <c r="M12" i="31" s="1"/>
  <c r="L11" i="31"/>
  <c r="M11" i="31" s="1"/>
  <c r="K11" i="31"/>
  <c r="G11" i="31"/>
  <c r="K10" i="31"/>
  <c r="G10" i="31"/>
  <c r="K9" i="31"/>
  <c r="G9" i="31"/>
  <c r="L9" i="31" s="1"/>
  <c r="M9" i="31" s="1"/>
  <c r="L8" i="31"/>
  <c r="M8" i="31" s="1"/>
  <c r="K8" i="31"/>
  <c r="G8" i="31"/>
  <c r="K7" i="31"/>
  <c r="G7" i="31"/>
  <c r="L7" i="31" s="1"/>
  <c r="M7" i="31" s="1"/>
  <c r="F7" i="31"/>
  <c r="E7" i="31"/>
  <c r="E14" i="31" s="1"/>
  <c r="D7" i="31"/>
  <c r="D14" i="31" s="1"/>
  <c r="G14" i="31" s="1"/>
  <c r="L14" i="31" s="1"/>
  <c r="M14" i="31" s="1"/>
  <c r="K6" i="31"/>
  <c r="L6" i="31" s="1"/>
  <c r="M6" i="31" s="1"/>
  <c r="G6" i="31"/>
  <c r="K5" i="31"/>
  <c r="G5" i="31"/>
  <c r="L5" i="31" s="1"/>
  <c r="M5" i="31" s="1"/>
  <c r="K4" i="31"/>
  <c r="G4" i="31"/>
  <c r="L4" i="31" s="1"/>
  <c r="M4" i="31" s="1"/>
  <c r="K3" i="31"/>
  <c r="L3" i="31" s="1"/>
  <c r="M3" i="31" s="1"/>
  <c r="G3" i="31"/>
  <c r="K2" i="31"/>
  <c r="G2" i="31"/>
  <c r="L2" i="31" s="1"/>
  <c r="M2" i="31" s="1"/>
  <c r="E6" i="30"/>
  <c r="D6" i="30"/>
  <c r="D5" i="30"/>
  <c r="E5" i="30" s="1"/>
  <c r="D4" i="30"/>
  <c r="E4" i="30" s="1"/>
  <c r="E3" i="30"/>
  <c r="D3" i="30"/>
  <c r="E2" i="30"/>
  <c r="D2" i="30"/>
  <c r="I30" i="29"/>
  <c r="J30" i="29" s="1"/>
  <c r="K30" i="29" s="1"/>
  <c r="F30" i="29"/>
  <c r="J29" i="29"/>
  <c r="K29" i="29" s="1"/>
  <c r="I29" i="29"/>
  <c r="F29" i="29"/>
  <c r="I28" i="29"/>
  <c r="F28" i="29"/>
  <c r="J28" i="29" s="1"/>
  <c r="K28" i="29" s="1"/>
  <c r="J27" i="29"/>
  <c r="K27" i="29" s="1"/>
  <c r="I27" i="29"/>
  <c r="F27" i="29"/>
  <c r="I26" i="29"/>
  <c r="F26" i="29"/>
  <c r="J26" i="29" s="1"/>
  <c r="J25" i="29"/>
  <c r="K25" i="29" s="1"/>
  <c r="I25" i="29"/>
  <c r="F25" i="29"/>
  <c r="I24" i="29"/>
  <c r="F24" i="29"/>
  <c r="J24" i="29" s="1"/>
  <c r="K24" i="29" s="1"/>
  <c r="I23" i="29"/>
  <c r="F23" i="29"/>
  <c r="J23" i="29" s="1"/>
  <c r="K23" i="29" s="1"/>
  <c r="J22" i="29"/>
  <c r="K22" i="29" s="1"/>
  <c r="I22" i="29"/>
  <c r="F22" i="29"/>
  <c r="I21" i="29"/>
  <c r="F21" i="29"/>
  <c r="J21" i="29" s="1"/>
  <c r="K21" i="29" s="1"/>
  <c r="I20" i="29"/>
  <c r="F20" i="29"/>
  <c r="J20" i="29" s="1"/>
  <c r="K20" i="29" s="1"/>
  <c r="J19" i="29"/>
  <c r="K19" i="29" s="1"/>
  <c r="I19" i="29"/>
  <c r="F19" i="29"/>
  <c r="I18" i="29"/>
  <c r="F18" i="29"/>
  <c r="J18" i="29" s="1"/>
  <c r="I17" i="29"/>
  <c r="F17" i="29"/>
  <c r="J17" i="29" s="1"/>
  <c r="K17" i="29" s="1"/>
  <c r="I16" i="29"/>
  <c r="J16" i="29" s="1"/>
  <c r="K16" i="29" s="1"/>
  <c r="F16" i="29"/>
  <c r="I15" i="29"/>
  <c r="F15" i="29"/>
  <c r="J15" i="29" s="1"/>
  <c r="K15" i="29" s="1"/>
  <c r="I14" i="29"/>
  <c r="F14" i="29"/>
  <c r="J14" i="29" s="1"/>
  <c r="K14" i="29" s="1"/>
  <c r="I13" i="29"/>
  <c r="J13" i="29" s="1"/>
  <c r="K13" i="29" s="1"/>
  <c r="F13" i="29"/>
  <c r="I12" i="29"/>
  <c r="F12" i="29"/>
  <c r="J12" i="29" s="1"/>
  <c r="K12" i="29" s="1"/>
  <c r="K11" i="29"/>
  <c r="I11" i="29"/>
  <c r="F11" i="29"/>
  <c r="J11" i="29" s="1"/>
  <c r="I10" i="29"/>
  <c r="J10" i="29" s="1"/>
  <c r="K10" i="29" s="1"/>
  <c r="F10" i="29"/>
  <c r="I9" i="29"/>
  <c r="F9" i="29"/>
  <c r="J9" i="29" s="1"/>
  <c r="K9" i="29" s="1"/>
  <c r="I8" i="29"/>
  <c r="F8" i="29"/>
  <c r="J8" i="29" s="1"/>
  <c r="K8" i="29" s="1"/>
  <c r="I7" i="29"/>
  <c r="J7" i="29" s="1"/>
  <c r="K7" i="29" s="1"/>
  <c r="F7" i="29"/>
  <c r="I6" i="29"/>
  <c r="F6" i="29"/>
  <c r="J6" i="29" s="1"/>
  <c r="K6" i="29" s="1"/>
  <c r="I5" i="29"/>
  <c r="F5" i="29"/>
  <c r="J5" i="29" s="1"/>
  <c r="K5" i="29" s="1"/>
  <c r="I4" i="29"/>
  <c r="J4" i="29" s="1"/>
  <c r="K4" i="29" s="1"/>
  <c r="F4" i="29"/>
  <c r="I3" i="29"/>
  <c r="F3" i="29"/>
  <c r="J3" i="29" s="1"/>
  <c r="K3" i="29" s="1"/>
  <c r="K2" i="29"/>
  <c r="I2" i="29"/>
  <c r="F2" i="29"/>
  <c r="J2" i="29" s="1"/>
  <c r="F19" i="28"/>
  <c r="G19" i="28" s="1"/>
  <c r="G18" i="28"/>
  <c r="F18" i="28"/>
  <c r="G17" i="28"/>
  <c r="F17" i="28"/>
  <c r="F16" i="28"/>
  <c r="G16" i="28" s="1"/>
  <c r="G15" i="28"/>
  <c r="F15" i="28"/>
  <c r="F14" i="28"/>
  <c r="G14" i="28" s="1"/>
  <c r="F13" i="28"/>
  <c r="G13" i="28" s="1"/>
  <c r="G12" i="28"/>
  <c r="F12" i="28"/>
  <c r="G11" i="28"/>
  <c r="F11" i="28"/>
  <c r="F10" i="28"/>
  <c r="G10" i="28" s="1"/>
  <c r="G9" i="28"/>
  <c r="F9" i="28"/>
  <c r="F8" i="28"/>
  <c r="G8" i="28" s="1"/>
  <c r="F7" i="28"/>
  <c r="G7" i="28" s="1"/>
  <c r="G6" i="28"/>
  <c r="F6" i="28"/>
  <c r="G5" i="28"/>
  <c r="F5" i="28"/>
  <c r="F4" i="28"/>
  <c r="G4" i="28" s="1"/>
  <c r="G3" i="28"/>
  <c r="F3" i="28"/>
  <c r="F2" i="28"/>
  <c r="G2" i="28" s="1"/>
  <c r="D22" i="27"/>
  <c r="F22" i="27" s="1"/>
  <c r="G22" i="27" s="1"/>
  <c r="F21" i="27"/>
  <c r="G21" i="27" s="1"/>
  <c r="G20" i="27"/>
  <c r="F20" i="27"/>
  <c r="G19" i="27"/>
  <c r="F19" i="27"/>
  <c r="F18" i="27"/>
  <c r="G18" i="27" s="1"/>
  <c r="E17" i="27"/>
  <c r="D17" i="27"/>
  <c r="F17" i="27" s="1"/>
  <c r="G17" i="27" s="1"/>
  <c r="F16" i="27"/>
  <c r="G16" i="27" s="1"/>
  <c r="E16" i="27"/>
  <c r="D16" i="27"/>
  <c r="G15" i="27"/>
  <c r="F15" i="27"/>
  <c r="D15" i="27"/>
  <c r="F14" i="27"/>
  <c r="G14" i="27" s="1"/>
  <c r="D14" i="27"/>
  <c r="F13" i="27"/>
  <c r="G13" i="27" s="1"/>
  <c r="E13" i="27"/>
  <c r="D13" i="27"/>
  <c r="E12" i="27"/>
  <c r="D12" i="27"/>
  <c r="F12" i="27" s="1"/>
  <c r="G12" i="27" s="1"/>
  <c r="E11" i="27"/>
  <c r="D11" i="27"/>
  <c r="F11" i="27" s="1"/>
  <c r="G11" i="27" s="1"/>
  <c r="F10" i="27"/>
  <c r="G10" i="27" s="1"/>
  <c r="E10" i="27"/>
  <c r="D10" i="27"/>
  <c r="E9" i="27"/>
  <c r="D9" i="27"/>
  <c r="F9" i="27" s="1"/>
  <c r="G9" i="27" s="1"/>
  <c r="E8" i="27"/>
  <c r="D8" i="27"/>
  <c r="F8" i="27" s="1"/>
  <c r="G8" i="27" s="1"/>
  <c r="F7" i="27"/>
  <c r="G7" i="27" s="1"/>
  <c r="E7" i="27"/>
  <c r="D7" i="27"/>
  <c r="E6" i="27"/>
  <c r="D6" i="27"/>
  <c r="F6" i="27" s="1"/>
  <c r="G6" i="27" s="1"/>
  <c r="D5" i="27"/>
  <c r="F5" i="27" s="1"/>
  <c r="G5" i="27" s="1"/>
  <c r="D4" i="27"/>
  <c r="F4" i="27" s="1"/>
  <c r="G4" i="27" s="1"/>
  <c r="F3" i="27"/>
  <c r="G3" i="27" s="1"/>
  <c r="D2" i="27"/>
  <c r="F2" i="27" s="1"/>
  <c r="G2" i="27" s="1"/>
  <c r="G18" i="26"/>
  <c r="F18" i="26"/>
  <c r="F17" i="26"/>
  <c r="G17" i="26" s="1"/>
  <c r="F16" i="26"/>
  <c r="G16" i="26" s="1"/>
  <c r="G15" i="26"/>
  <c r="F15" i="26"/>
  <c r="G14" i="26"/>
  <c r="F14" i="26"/>
  <c r="F13" i="26"/>
  <c r="G13" i="26" s="1"/>
  <c r="G12" i="26"/>
  <c r="F12" i="26"/>
  <c r="F11" i="26"/>
  <c r="G11" i="26" s="1"/>
  <c r="F10" i="26"/>
  <c r="G10" i="26" s="1"/>
  <c r="G9" i="26"/>
  <c r="F9" i="26"/>
  <c r="G8" i="26"/>
  <c r="F8" i="26"/>
  <c r="F7" i="26"/>
  <c r="G7" i="26" s="1"/>
  <c r="G6" i="26"/>
  <c r="F6" i="26"/>
  <c r="F5" i="26"/>
  <c r="G5" i="26" s="1"/>
  <c r="F4" i="26"/>
  <c r="G4" i="26" s="1"/>
  <c r="G3" i="26"/>
  <c r="F3" i="26"/>
  <c r="G2" i="26"/>
  <c r="F2" i="26"/>
  <c r="F34" i="25"/>
  <c r="G34" i="25" s="1"/>
  <c r="E34" i="25"/>
  <c r="D34" i="25"/>
  <c r="F33" i="25"/>
  <c r="G33" i="25" s="1"/>
  <c r="E33" i="25"/>
  <c r="D33" i="25"/>
  <c r="E32" i="25"/>
  <c r="F32" i="25" s="1"/>
  <c r="G32" i="25" s="1"/>
  <c r="D32" i="25"/>
  <c r="E31" i="25"/>
  <c r="F31" i="25" s="1"/>
  <c r="G31" i="25" s="1"/>
  <c r="D31" i="25"/>
  <c r="F30" i="25"/>
  <c r="G30" i="25" s="1"/>
  <c r="E30" i="25"/>
  <c r="D30" i="25"/>
  <c r="E29" i="25"/>
  <c r="F29" i="25" s="1"/>
  <c r="G29" i="25" s="1"/>
  <c r="D29" i="25"/>
  <c r="E28" i="25"/>
  <c r="F28" i="25" s="1"/>
  <c r="G28" i="25" s="1"/>
  <c r="D28" i="25"/>
  <c r="F27" i="25"/>
  <c r="G27" i="25" s="1"/>
  <c r="E27" i="25"/>
  <c r="D27" i="25"/>
  <c r="E26" i="25"/>
  <c r="F26" i="25" s="1"/>
  <c r="G26" i="25" s="1"/>
  <c r="D26" i="25"/>
  <c r="F25" i="25"/>
  <c r="G25" i="25" s="1"/>
  <c r="E25" i="25"/>
  <c r="D25" i="25"/>
  <c r="F24" i="25"/>
  <c r="G24" i="25" s="1"/>
  <c r="E24" i="25"/>
  <c r="D24" i="25"/>
  <c r="E23" i="25"/>
  <c r="F23" i="25" s="1"/>
  <c r="G23" i="25" s="1"/>
  <c r="D23" i="25"/>
  <c r="E22" i="25"/>
  <c r="F22" i="25" s="1"/>
  <c r="G22" i="25" s="1"/>
  <c r="D22" i="25"/>
  <c r="D21" i="25"/>
  <c r="F21" i="25" s="1"/>
  <c r="E20" i="25"/>
  <c r="F20" i="25" s="1"/>
  <c r="G20" i="25" s="1"/>
  <c r="D20" i="25"/>
  <c r="E19" i="25"/>
  <c r="D19" i="25"/>
  <c r="F19" i="25" s="1"/>
  <c r="G19" i="25" s="1"/>
  <c r="E18" i="25"/>
  <c r="D18" i="25"/>
  <c r="F18" i="25" s="1"/>
  <c r="G18" i="25" s="1"/>
  <c r="E17" i="25"/>
  <c r="F17" i="25" s="1"/>
  <c r="G17" i="25" s="1"/>
  <c r="D17" i="25"/>
  <c r="F16" i="25"/>
  <c r="D16" i="25"/>
  <c r="E15" i="25"/>
  <c r="F15" i="25" s="1"/>
  <c r="G15" i="25" s="1"/>
  <c r="D15" i="25"/>
  <c r="F14" i="25"/>
  <c r="G14" i="25" s="1"/>
  <c r="E14" i="25"/>
  <c r="D14" i="25"/>
  <c r="E13" i="25"/>
  <c r="F13" i="25" s="1"/>
  <c r="G13" i="25" s="1"/>
  <c r="D13" i="25"/>
  <c r="F12" i="25"/>
  <c r="G12" i="25" s="1"/>
  <c r="E12" i="25"/>
  <c r="D12" i="25"/>
  <c r="F11" i="25"/>
  <c r="G11" i="25" s="1"/>
  <c r="E11" i="25"/>
  <c r="D11" i="25"/>
  <c r="E10" i="25"/>
  <c r="F10" i="25" s="1"/>
  <c r="G10" i="25" s="1"/>
  <c r="D10" i="25"/>
  <c r="F9" i="25"/>
  <c r="G9" i="25" s="1"/>
  <c r="E9" i="25"/>
  <c r="D9" i="25"/>
  <c r="F8" i="25"/>
  <c r="G8" i="25" s="1"/>
  <c r="E8" i="25"/>
  <c r="D8" i="25"/>
  <c r="E7" i="25"/>
  <c r="F7" i="25" s="1"/>
  <c r="G7" i="25" s="1"/>
  <c r="D7" i="25"/>
  <c r="E6" i="25"/>
  <c r="F6" i="25" s="1"/>
  <c r="G6" i="25" s="1"/>
  <c r="D6" i="25"/>
  <c r="F5" i="25"/>
  <c r="G5" i="25" s="1"/>
  <c r="E5" i="25"/>
  <c r="D5" i="25"/>
  <c r="E4" i="25"/>
  <c r="F4" i="25" s="1"/>
  <c r="G4" i="25" s="1"/>
  <c r="D4" i="25"/>
  <c r="F3" i="25"/>
  <c r="G3" i="25" s="1"/>
  <c r="E3" i="25"/>
  <c r="D3" i="25"/>
  <c r="F2" i="25"/>
  <c r="G2" i="25" s="1"/>
  <c r="E2" i="25"/>
  <c r="D2" i="25"/>
  <c r="G9" i="24"/>
  <c r="F9" i="24"/>
  <c r="G8" i="24"/>
  <c r="F8" i="24"/>
  <c r="F7" i="24"/>
  <c r="G7" i="24" s="1"/>
  <c r="G6" i="24"/>
  <c r="F6" i="24"/>
  <c r="F5" i="24"/>
  <c r="G5" i="24" s="1"/>
  <c r="F4" i="24"/>
  <c r="G4" i="24" s="1"/>
  <c r="G3" i="24"/>
  <c r="F3" i="24"/>
  <c r="G2" i="24"/>
  <c r="F2" i="24"/>
  <c r="E10" i="23"/>
  <c r="F10" i="23" s="1"/>
  <c r="F9" i="23"/>
  <c r="E9" i="23"/>
  <c r="E8" i="23"/>
  <c r="F8" i="23" s="1"/>
  <c r="E7" i="23"/>
  <c r="F7" i="23" s="1"/>
  <c r="F6" i="23"/>
  <c r="E6" i="23"/>
  <c r="F5" i="23"/>
  <c r="E5" i="23"/>
  <c r="E4" i="23"/>
  <c r="F4" i="23" s="1"/>
  <c r="F3" i="23"/>
  <c r="E3" i="23"/>
  <c r="E2" i="23"/>
  <c r="F2" i="23" s="1"/>
  <c r="J14" i="22"/>
  <c r="J12" i="22"/>
  <c r="K12" i="22" s="1"/>
  <c r="J10" i="22"/>
  <c r="K10" i="22" s="1"/>
  <c r="J9" i="22"/>
  <c r="K9" i="22" s="1"/>
  <c r="J6" i="22"/>
  <c r="K6" i="22" s="1"/>
  <c r="J2" i="22"/>
  <c r="K2" i="22" s="1"/>
  <c r="G19" i="21"/>
  <c r="F19" i="21"/>
  <c r="G18" i="21"/>
  <c r="F18" i="21"/>
  <c r="F17" i="21"/>
  <c r="G17" i="21" s="1"/>
  <c r="F16" i="21"/>
  <c r="G16" i="21" s="1"/>
  <c r="F15" i="21"/>
  <c r="G15" i="21" s="1"/>
  <c r="F14" i="21"/>
  <c r="G14" i="21" s="1"/>
  <c r="G13" i="21"/>
  <c r="F13" i="21"/>
  <c r="G12" i="21"/>
  <c r="F12" i="21"/>
  <c r="F11" i="21"/>
  <c r="G11" i="21" s="1"/>
  <c r="F10" i="21"/>
  <c r="G10" i="21" s="1"/>
  <c r="F9" i="21"/>
  <c r="G9" i="21" s="1"/>
  <c r="F8" i="21"/>
  <c r="G8" i="21" s="1"/>
  <c r="G7" i="21"/>
  <c r="F7" i="21"/>
  <c r="G6" i="21"/>
  <c r="F6" i="21"/>
  <c r="F5" i="21"/>
  <c r="G5" i="21" s="1"/>
  <c r="F4" i="21"/>
  <c r="G4" i="21" s="1"/>
  <c r="F3" i="21"/>
  <c r="G3" i="21" s="1"/>
  <c r="F2" i="21"/>
  <c r="G2" i="21" s="1"/>
  <c r="G12" i="20"/>
  <c r="F12" i="20"/>
  <c r="G11" i="20"/>
  <c r="F11" i="20"/>
  <c r="F10" i="20"/>
  <c r="G10" i="20" s="1"/>
  <c r="F9" i="20"/>
  <c r="G9" i="20" s="1"/>
  <c r="F8" i="20"/>
  <c r="G8" i="20" s="1"/>
  <c r="F7" i="20"/>
  <c r="G7" i="20" s="1"/>
  <c r="G6" i="20"/>
  <c r="F6" i="20"/>
  <c r="G5" i="20"/>
  <c r="F5" i="20"/>
  <c r="F4" i="20"/>
  <c r="G4" i="20" s="1"/>
  <c r="F3" i="20"/>
  <c r="G3" i="20" s="1"/>
  <c r="F2" i="20"/>
  <c r="G2" i="20" s="1"/>
  <c r="J22" i="19"/>
  <c r="K22" i="19" s="1"/>
  <c r="K21" i="19"/>
  <c r="J21" i="19"/>
  <c r="K20" i="19"/>
  <c r="J20" i="19"/>
  <c r="J19" i="19"/>
  <c r="K19" i="19" s="1"/>
  <c r="J18" i="19"/>
  <c r="K18" i="19" s="1"/>
  <c r="J17" i="19"/>
  <c r="K17" i="19" s="1"/>
  <c r="J16" i="19"/>
  <c r="K16" i="19" s="1"/>
  <c r="I16" i="19"/>
  <c r="H16" i="19"/>
  <c r="F16" i="19"/>
  <c r="E16" i="19"/>
  <c r="J15" i="19"/>
  <c r="K15" i="19" s="1"/>
  <c r="J14" i="19"/>
  <c r="K14" i="19" s="1"/>
  <c r="J13" i="19"/>
  <c r="K13" i="19" s="1"/>
  <c r="J12" i="19"/>
  <c r="K12" i="19" s="1"/>
  <c r="K11" i="19"/>
  <c r="J11" i="19"/>
  <c r="G10" i="19"/>
  <c r="F10" i="19"/>
  <c r="D10" i="19"/>
  <c r="K9" i="19"/>
  <c r="J9" i="19"/>
  <c r="K8" i="19"/>
  <c r="J8" i="19"/>
  <c r="K7" i="19"/>
  <c r="J7" i="19"/>
  <c r="J6" i="19"/>
  <c r="K6" i="19" s="1"/>
  <c r="J5" i="19"/>
  <c r="K5" i="19" s="1"/>
  <c r="I4" i="19"/>
  <c r="H4" i="19"/>
  <c r="H10" i="19" s="1"/>
  <c r="G4" i="19"/>
  <c r="F4" i="19"/>
  <c r="E4" i="19"/>
  <c r="E10" i="19" s="1"/>
  <c r="D4" i="19"/>
  <c r="J3" i="19"/>
  <c r="K3" i="19" s="1"/>
  <c r="J2" i="19"/>
  <c r="K2" i="19" s="1"/>
  <c r="F23" i="18"/>
  <c r="G23" i="18" s="1"/>
  <c r="F22" i="18"/>
  <c r="G22" i="18" s="1"/>
  <c r="F21" i="18"/>
  <c r="G21" i="18" s="1"/>
  <c r="G20" i="18"/>
  <c r="F20" i="18"/>
  <c r="F19" i="18"/>
  <c r="G19" i="18" s="1"/>
  <c r="F18" i="18"/>
  <c r="G18" i="18" s="1"/>
  <c r="E18" i="18"/>
  <c r="F17" i="18"/>
  <c r="G17" i="18" s="1"/>
  <c r="G16" i="18"/>
  <c r="F16" i="18"/>
  <c r="F15" i="18"/>
  <c r="G15" i="18" s="1"/>
  <c r="F14" i="18"/>
  <c r="G14" i="18" s="1"/>
  <c r="G13" i="18"/>
  <c r="F13" i="18"/>
  <c r="G12" i="18"/>
  <c r="F12" i="18"/>
  <c r="F11" i="18"/>
  <c r="G11" i="18" s="1"/>
  <c r="G10" i="18"/>
  <c r="F10" i="18"/>
  <c r="F9" i="18"/>
  <c r="G9" i="18" s="1"/>
  <c r="F8" i="18"/>
  <c r="G8" i="18" s="1"/>
  <c r="G7" i="18"/>
  <c r="F7" i="18"/>
  <c r="G6" i="18"/>
  <c r="F6" i="18"/>
  <c r="F5" i="18"/>
  <c r="G5" i="18" s="1"/>
  <c r="G4" i="18"/>
  <c r="F4" i="18"/>
  <c r="F3" i="18"/>
  <c r="G3" i="18" s="1"/>
  <c r="F2" i="18"/>
  <c r="G2" i="18" s="1"/>
  <c r="F9" i="17"/>
  <c r="E9" i="17"/>
  <c r="F8" i="17"/>
  <c r="E8" i="17"/>
  <c r="E7" i="17"/>
  <c r="F7" i="17" s="1"/>
  <c r="F6" i="17"/>
  <c r="E6" i="17"/>
  <c r="E5" i="17"/>
  <c r="F5" i="17" s="1"/>
  <c r="E4" i="17"/>
  <c r="F4" i="17" s="1"/>
  <c r="F3" i="17"/>
  <c r="E3" i="17"/>
  <c r="F2" i="17"/>
  <c r="E2" i="17"/>
  <c r="F7" i="16"/>
  <c r="G7" i="16" s="1"/>
  <c r="G6" i="16"/>
  <c r="F6" i="16"/>
  <c r="F5" i="16"/>
  <c r="G4" i="16"/>
  <c r="F4" i="16"/>
  <c r="F3" i="16"/>
  <c r="F2" i="16"/>
  <c r="G30" i="15"/>
  <c r="F30" i="15"/>
  <c r="F29" i="15"/>
  <c r="G29" i="15" s="1"/>
  <c r="G28" i="15"/>
  <c r="F28" i="15"/>
  <c r="F27" i="15"/>
  <c r="G27" i="15" s="1"/>
  <c r="G26" i="15"/>
  <c r="F26" i="15"/>
  <c r="F25" i="15"/>
  <c r="G25" i="15" s="1"/>
  <c r="G24" i="15"/>
  <c r="F24" i="15"/>
  <c r="F23" i="15"/>
  <c r="G23" i="15" s="1"/>
  <c r="F22" i="15"/>
  <c r="G22" i="15" s="1"/>
  <c r="F21" i="15"/>
  <c r="G21" i="15" s="1"/>
  <c r="G20" i="15"/>
  <c r="F20" i="15"/>
  <c r="F19" i="15"/>
  <c r="G19" i="15" s="1"/>
  <c r="G18" i="15"/>
  <c r="F18" i="15"/>
  <c r="F17" i="15"/>
  <c r="G17" i="15" s="1"/>
  <c r="G16" i="15"/>
  <c r="F16" i="15"/>
  <c r="F15" i="15"/>
  <c r="G15" i="15" s="1"/>
  <c r="G14" i="15"/>
  <c r="F14" i="15"/>
  <c r="F13" i="15"/>
  <c r="G13" i="15" s="1"/>
  <c r="G12" i="15"/>
  <c r="F12" i="15"/>
  <c r="F11" i="15"/>
  <c r="G11" i="15" s="1"/>
  <c r="G10" i="15"/>
  <c r="F10" i="15"/>
  <c r="F9" i="15"/>
  <c r="G9" i="15" s="1"/>
  <c r="G8" i="15"/>
  <c r="F8" i="15"/>
  <c r="F7" i="15"/>
  <c r="G7" i="15" s="1"/>
  <c r="G6" i="15"/>
  <c r="F6" i="15"/>
  <c r="F5" i="15"/>
  <c r="G5" i="15" s="1"/>
  <c r="G4" i="15"/>
  <c r="F4" i="15"/>
  <c r="F3" i="15"/>
  <c r="G3" i="15" s="1"/>
  <c r="G2" i="15"/>
  <c r="F2" i="15"/>
  <c r="N43" i="14"/>
  <c r="O43" i="14" s="1"/>
  <c r="O42" i="14"/>
  <c r="N42" i="14"/>
  <c r="N41" i="14"/>
  <c r="O41" i="14" s="1"/>
  <c r="N40" i="14"/>
  <c r="O40" i="14" s="1"/>
  <c r="N39" i="14"/>
  <c r="O39" i="14" s="1"/>
  <c r="O38" i="14"/>
  <c r="N38" i="14"/>
  <c r="N37" i="14"/>
  <c r="O37" i="14" s="1"/>
  <c r="O36" i="14"/>
  <c r="N36" i="14"/>
  <c r="N35" i="14"/>
  <c r="O35" i="14" s="1"/>
  <c r="O34" i="14"/>
  <c r="N34" i="14"/>
  <c r="N33" i="14"/>
  <c r="O33" i="14" s="1"/>
  <c r="O32" i="14"/>
  <c r="N32" i="14"/>
  <c r="N31" i="14"/>
  <c r="O31" i="14" s="1"/>
  <c r="O30" i="14"/>
  <c r="N30" i="14"/>
  <c r="N29" i="14"/>
  <c r="O29" i="14" s="1"/>
  <c r="O28" i="14"/>
  <c r="N28" i="14"/>
  <c r="N27" i="14"/>
  <c r="O27" i="14" s="1"/>
  <c r="O26" i="14"/>
  <c r="N26" i="14"/>
  <c r="N25" i="14"/>
  <c r="O25" i="14" s="1"/>
  <c r="O24" i="14"/>
  <c r="N24" i="14"/>
  <c r="N23" i="14"/>
  <c r="O23" i="14" s="1"/>
  <c r="O22" i="14"/>
  <c r="N22" i="14"/>
  <c r="N21" i="14"/>
  <c r="O21" i="14" s="1"/>
  <c r="O20" i="14"/>
  <c r="N20" i="14"/>
  <c r="N19" i="14"/>
  <c r="O19" i="14" s="1"/>
  <c r="O18" i="14"/>
  <c r="N18" i="14"/>
  <c r="N17" i="14"/>
  <c r="O17" i="14" s="1"/>
  <c r="N16" i="14"/>
  <c r="O16" i="14" s="1"/>
  <c r="N15" i="14"/>
  <c r="O15" i="14" s="1"/>
  <c r="O14" i="14"/>
  <c r="N14" i="14"/>
  <c r="N13" i="14"/>
  <c r="O13" i="14" s="1"/>
  <c r="O12" i="14"/>
  <c r="N12" i="14"/>
  <c r="N11" i="14"/>
  <c r="O11" i="14" s="1"/>
  <c r="O10" i="14"/>
  <c r="N10" i="14"/>
  <c r="N9" i="14"/>
  <c r="O9" i="14" s="1"/>
  <c r="O8" i="14"/>
  <c r="N8" i="14"/>
  <c r="N7" i="14"/>
  <c r="O7" i="14" s="1"/>
  <c r="N6" i="14"/>
  <c r="O5" i="14"/>
  <c r="N5" i="14"/>
  <c r="N4" i="14"/>
  <c r="O4" i="14" s="1"/>
  <c r="O3" i="14"/>
  <c r="N3" i="14"/>
  <c r="N2" i="14"/>
  <c r="O2" i="14" s="1"/>
  <c r="F31" i="13"/>
  <c r="G31" i="13" s="1"/>
  <c r="G30" i="13"/>
  <c r="F30" i="13"/>
  <c r="G29" i="13"/>
  <c r="F29" i="13"/>
  <c r="F28" i="13"/>
  <c r="G28" i="13" s="1"/>
  <c r="G27" i="13"/>
  <c r="F27" i="13"/>
  <c r="F26" i="13"/>
  <c r="G26" i="13" s="1"/>
  <c r="F25" i="13"/>
  <c r="G25" i="13" s="1"/>
  <c r="G24" i="13"/>
  <c r="F24" i="13"/>
  <c r="G23" i="13"/>
  <c r="F23" i="13"/>
  <c r="F22" i="13"/>
  <c r="G22" i="13" s="1"/>
  <c r="G21" i="13"/>
  <c r="F21" i="13"/>
  <c r="F20" i="13"/>
  <c r="G20" i="13" s="1"/>
  <c r="F19" i="13"/>
  <c r="G19" i="13" s="1"/>
  <c r="G18" i="13"/>
  <c r="F18" i="13"/>
  <c r="G17" i="13"/>
  <c r="F17" i="13"/>
  <c r="F16" i="13"/>
  <c r="G16" i="13" s="1"/>
  <c r="G15" i="13"/>
  <c r="F15" i="13"/>
  <c r="F14" i="13"/>
  <c r="G14" i="13" s="1"/>
  <c r="F13" i="13"/>
  <c r="G13" i="13" s="1"/>
  <c r="G12" i="13"/>
  <c r="F12" i="13"/>
  <c r="G11" i="13"/>
  <c r="F11" i="13"/>
  <c r="F10" i="13"/>
  <c r="G10" i="13" s="1"/>
  <c r="G9" i="13"/>
  <c r="F9" i="13"/>
  <c r="F8" i="13"/>
  <c r="G8" i="13" s="1"/>
  <c r="F7" i="13"/>
  <c r="G7" i="13" s="1"/>
  <c r="G6" i="13"/>
  <c r="F6" i="13"/>
  <c r="G5" i="13"/>
  <c r="F5" i="13"/>
  <c r="F3" i="13"/>
  <c r="G3" i="13" s="1"/>
  <c r="G2" i="13"/>
  <c r="F2" i="13"/>
  <c r="J25" i="12"/>
  <c r="K25" i="12" s="1"/>
  <c r="J24" i="12"/>
  <c r="K24" i="12" s="1"/>
  <c r="K23" i="12"/>
  <c r="J23" i="12"/>
  <c r="K22" i="12"/>
  <c r="J22" i="12"/>
  <c r="J21" i="12"/>
  <c r="K21" i="12" s="1"/>
  <c r="K20" i="12"/>
  <c r="J20" i="12"/>
  <c r="J19" i="12"/>
  <c r="K19" i="12" s="1"/>
  <c r="J18" i="12"/>
  <c r="K18" i="12" s="1"/>
  <c r="K17" i="12"/>
  <c r="J17" i="12"/>
  <c r="K16" i="12"/>
  <c r="J16" i="12"/>
  <c r="J15" i="12"/>
  <c r="K15" i="12" s="1"/>
  <c r="K14" i="12"/>
  <c r="J14" i="12"/>
  <c r="J13" i="12"/>
  <c r="K13" i="12" s="1"/>
  <c r="J12" i="12"/>
  <c r="K12" i="12" s="1"/>
  <c r="K11" i="12"/>
  <c r="J11" i="12"/>
  <c r="K10" i="12"/>
  <c r="J10" i="12"/>
  <c r="J9" i="12"/>
  <c r="K9" i="12" s="1"/>
  <c r="K8" i="12"/>
  <c r="J8" i="12"/>
  <c r="J7" i="12"/>
  <c r="K7" i="12" s="1"/>
  <c r="J6" i="12"/>
  <c r="K6" i="12" s="1"/>
  <c r="K5" i="12"/>
  <c r="J5" i="12"/>
  <c r="K4" i="12"/>
  <c r="J4" i="12"/>
  <c r="J3" i="12"/>
  <c r="K3" i="12" s="1"/>
  <c r="K2" i="12"/>
  <c r="J2" i="12"/>
  <c r="L12" i="11"/>
  <c r="M12" i="11" s="1"/>
  <c r="L11" i="11"/>
  <c r="M11" i="11" s="1"/>
  <c r="M10" i="11"/>
  <c r="L10" i="11"/>
  <c r="M9" i="11"/>
  <c r="L9" i="11"/>
  <c r="L8" i="11"/>
  <c r="M8" i="11" s="1"/>
  <c r="M7" i="11"/>
  <c r="L7" i="11"/>
  <c r="L6" i="11"/>
  <c r="M6" i="11" s="1"/>
  <c r="L5" i="11"/>
  <c r="M5" i="11" s="1"/>
  <c r="J5" i="11"/>
  <c r="I5" i="11"/>
  <c r="H5" i="11"/>
  <c r="F5" i="11"/>
  <c r="E5" i="11"/>
  <c r="D5" i="11"/>
  <c r="L4" i="11"/>
  <c r="M3" i="11"/>
  <c r="L3" i="11"/>
  <c r="M2" i="11"/>
  <c r="L2" i="11"/>
  <c r="F8" i="10"/>
  <c r="G8" i="10" s="1"/>
  <c r="G7" i="10"/>
  <c r="F7" i="10"/>
  <c r="F6" i="10"/>
  <c r="G6" i="10" s="1"/>
  <c r="F5" i="10"/>
  <c r="G4" i="10"/>
  <c r="F4" i="10"/>
  <c r="F3" i="10"/>
  <c r="G3" i="10" s="1"/>
  <c r="F2" i="10"/>
  <c r="G2" i="10" s="1"/>
  <c r="F9" i="9"/>
  <c r="E9" i="9"/>
  <c r="F8" i="9"/>
  <c r="E8" i="9"/>
  <c r="E7" i="9"/>
  <c r="F7" i="9" s="1"/>
  <c r="F6" i="9"/>
  <c r="E6" i="9"/>
  <c r="E5" i="9"/>
  <c r="F5" i="9" s="1"/>
  <c r="E4" i="9"/>
  <c r="F4" i="9" s="1"/>
  <c r="F3" i="9"/>
  <c r="E3" i="9"/>
  <c r="F2" i="9"/>
  <c r="E2" i="9"/>
  <c r="J34" i="8"/>
  <c r="K34" i="8" s="1"/>
  <c r="K33" i="8"/>
  <c r="J33" i="8"/>
  <c r="H33" i="8"/>
  <c r="G33" i="8"/>
  <c r="E33" i="8"/>
  <c r="D33" i="8"/>
  <c r="K32" i="8"/>
  <c r="J32" i="8"/>
  <c r="J31" i="8"/>
  <c r="J30" i="8"/>
  <c r="K30" i="8" s="1"/>
  <c r="K29" i="8"/>
  <c r="J29" i="8"/>
  <c r="J28" i="8"/>
  <c r="K28" i="8" s="1"/>
  <c r="F27" i="8"/>
  <c r="J27" i="8" s="1"/>
  <c r="K27" i="8" s="1"/>
  <c r="E27" i="8"/>
  <c r="D27" i="8"/>
  <c r="J26" i="8"/>
  <c r="J25" i="8"/>
  <c r="K25" i="8" s="1"/>
  <c r="J24" i="8"/>
  <c r="J23" i="8"/>
  <c r="F23" i="8"/>
  <c r="E23" i="8"/>
  <c r="D23" i="8"/>
  <c r="J22" i="8"/>
  <c r="J21" i="8"/>
  <c r="J20" i="8"/>
  <c r="J19" i="8"/>
  <c r="E18" i="8"/>
  <c r="D18" i="8"/>
  <c r="J17" i="8"/>
  <c r="J16" i="8"/>
  <c r="K15" i="8"/>
  <c r="J15" i="8"/>
  <c r="F14" i="8"/>
  <c r="J14" i="8" s="1"/>
  <c r="J13" i="8"/>
  <c r="J12" i="8"/>
  <c r="F12" i="8"/>
  <c r="E12" i="8"/>
  <c r="D12" i="8"/>
  <c r="J11" i="8"/>
  <c r="J10" i="8"/>
  <c r="J9" i="8"/>
  <c r="F8" i="8"/>
  <c r="J8" i="8" s="1"/>
  <c r="K8" i="8" s="1"/>
  <c r="E8" i="8"/>
  <c r="D8" i="8"/>
  <c r="K7" i="8"/>
  <c r="J7" i="8"/>
  <c r="J6" i="8"/>
  <c r="K6" i="8" s="1"/>
  <c r="K5" i="8"/>
  <c r="F5" i="8"/>
  <c r="J5" i="8" s="1"/>
  <c r="E5" i="8"/>
  <c r="D5" i="8"/>
  <c r="J4" i="8"/>
  <c r="K4" i="8" s="1"/>
  <c r="K3" i="8"/>
  <c r="J3" i="8"/>
  <c r="J2" i="8"/>
  <c r="K2" i="8" s="1"/>
  <c r="I16" i="7"/>
  <c r="J16" i="7" s="1"/>
  <c r="I15" i="7"/>
  <c r="J15" i="7" s="1"/>
  <c r="J14" i="7"/>
  <c r="I14" i="7"/>
  <c r="I13" i="7"/>
  <c r="J13" i="7" s="1"/>
  <c r="J12" i="7"/>
  <c r="I12" i="7"/>
  <c r="I11" i="7"/>
  <c r="J11" i="7" s="1"/>
  <c r="I10" i="7"/>
  <c r="J10" i="7" s="1"/>
  <c r="I9" i="7"/>
  <c r="J9" i="7" s="1"/>
  <c r="J8" i="7"/>
  <c r="I8" i="7"/>
  <c r="I7" i="7"/>
  <c r="J7" i="7" s="1"/>
  <c r="J6" i="7"/>
  <c r="I6" i="7"/>
  <c r="I5" i="7"/>
  <c r="J5" i="7" s="1"/>
  <c r="I4" i="7"/>
  <c r="J4" i="7" s="1"/>
  <c r="I3" i="7"/>
  <c r="J3" i="7" s="1"/>
  <c r="J2" i="7"/>
  <c r="I2" i="7"/>
  <c r="J7" i="22" l="1"/>
  <c r="K7" i="22" s="1"/>
  <c r="J18" i="22"/>
  <c r="K18" i="22" s="1"/>
  <c r="J13" i="22"/>
  <c r="J3" i="22"/>
  <c r="K3" i="22" s="1"/>
  <c r="J19" i="22"/>
  <c r="K19" i="22" s="1"/>
  <c r="J20" i="22"/>
  <c r="K20" i="22" s="1"/>
  <c r="J17" i="22"/>
  <c r="K17" i="22" s="1"/>
  <c r="J4" i="22"/>
  <c r="K4" i="22" s="1"/>
  <c r="J15" i="22"/>
  <c r="K15" i="22" s="1"/>
  <c r="J11" i="22"/>
  <c r="J16" i="22"/>
  <c r="K16" i="22" s="1"/>
  <c r="J8" i="22"/>
  <c r="K8" i="22" s="1"/>
  <c r="L10" i="31"/>
  <c r="M10" i="31" s="1"/>
  <c r="I10" i="19"/>
  <c r="J4" i="19"/>
  <c r="K4" i="19" s="1"/>
  <c r="J5" i="22"/>
  <c r="K5" i="22" s="1"/>
  <c r="L22" i="31"/>
  <c r="M22" i="31" s="1"/>
  <c r="L13" i="31"/>
  <c r="M13" i="31" s="1"/>
  <c r="J46" i="40"/>
  <c r="K46" i="40" s="1"/>
  <c r="J18" i="40"/>
  <c r="K18" i="40" s="1"/>
  <c r="F18" i="8"/>
  <c r="L24" i="32"/>
  <c r="M24" i="32" s="1"/>
  <c r="I25" i="32"/>
  <c r="J25" i="32"/>
  <c r="I46" i="40"/>
  <c r="J37" i="40"/>
  <c r="K37" i="40" s="1"/>
  <c r="J10" i="19" l="1"/>
  <c r="K10" i="19" s="1"/>
  <c r="J18" i="8"/>
  <c r="K18" i="8" s="1"/>
</calcChain>
</file>

<file path=xl/sharedStrings.xml><?xml version="1.0" encoding="utf-8"?>
<sst xmlns="http://schemas.openxmlformats.org/spreadsheetml/2006/main" count="11337" uniqueCount="1836">
  <si>
    <t>Your one stop website for:</t>
  </si>
  <si>
    <t>Growing Sales &amp; Building Brands</t>
  </si>
  <si>
    <t>Saving Costs to Gain Time</t>
  </si>
  <si>
    <t>Developing Drugs Faster</t>
  </si>
  <si>
    <t>Staying Informed to Stay Ahead</t>
  </si>
  <si>
    <t>Learn More by Contacting us:</t>
  </si>
  <si>
    <t>support@pharmacompass.com</t>
  </si>
  <si>
    <t>+91(0)98.994.680.20</t>
  </si>
  <si>
    <t>Company Name</t>
  </si>
  <si>
    <t>Product Name</t>
  </si>
  <si>
    <t>Active Ingredient</t>
  </si>
  <si>
    <t>Main Therapeutic Indication</t>
  </si>
  <si>
    <t>Currency</t>
  </si>
  <si>
    <t>Unit</t>
  </si>
  <si>
    <t>2020 Revenue</t>
  </si>
  <si>
    <t>2019 Revenue</t>
  </si>
  <si>
    <t>2020 Revenue in Millions (USD)</t>
  </si>
  <si>
    <t>2019 Revenue in Millions (USD)</t>
  </si>
  <si>
    <t>Sales Difference in Millions (USD)</t>
  </si>
  <si>
    <t>Abbott</t>
  </si>
  <si>
    <t/>
  </si>
  <si>
    <t>USD</t>
  </si>
  <si>
    <t>Millions</t>
  </si>
  <si>
    <t>Others</t>
  </si>
  <si>
    <t>Total Established Pharmaceuticals</t>
  </si>
  <si>
    <t>Pediatric</t>
  </si>
  <si>
    <t>Nutritional Deficiency</t>
  </si>
  <si>
    <t>Adult</t>
  </si>
  <si>
    <t>Total Nutrition</t>
  </si>
  <si>
    <t>Core Laboratory</t>
  </si>
  <si>
    <t>Diagnostics</t>
  </si>
  <si>
    <t>Molecular</t>
  </si>
  <si>
    <t>Point of Care</t>
  </si>
  <si>
    <t>Rapid Diagnostics</t>
  </si>
  <si>
    <t>Total Diagnostics</t>
  </si>
  <si>
    <t>Medical Devices</t>
  </si>
  <si>
    <t>Total Reportable Segments</t>
  </si>
  <si>
    <t>Other Sales</t>
  </si>
  <si>
    <t>Total Sales</t>
  </si>
  <si>
    <t>Abbvie</t>
  </si>
  <si>
    <t>Biological</t>
  </si>
  <si>
    <t>Skyrizi</t>
  </si>
  <si>
    <t>Risankizumab</t>
  </si>
  <si>
    <t>Immunology</t>
  </si>
  <si>
    <t>Rinvoq</t>
  </si>
  <si>
    <t>Upadacitinib</t>
  </si>
  <si>
    <t>Chemical</t>
  </si>
  <si>
    <t>Imbruvica</t>
  </si>
  <si>
    <t>Ibrutinib</t>
  </si>
  <si>
    <t>Oncology</t>
  </si>
  <si>
    <t>Venclexta</t>
  </si>
  <si>
    <t>Venetoclax</t>
  </si>
  <si>
    <t>Hematologic Oncology</t>
  </si>
  <si>
    <t>Botox Cosmetic</t>
  </si>
  <si>
    <t>Juvederm Collection</t>
  </si>
  <si>
    <t>Hyaluronic Acid</t>
  </si>
  <si>
    <t>Dermatology</t>
  </si>
  <si>
    <t>Other Aesthetics</t>
  </si>
  <si>
    <t>Aesthetics</t>
  </si>
  <si>
    <t>Botox Therapeutic</t>
  </si>
  <si>
    <t>Vraylar</t>
  </si>
  <si>
    <t>Cariprazine</t>
  </si>
  <si>
    <t>CNS &amp; Anesthesia</t>
  </si>
  <si>
    <t>Duodopa</t>
  </si>
  <si>
    <t>Carbidopa/Levodopa</t>
  </si>
  <si>
    <t>Ubrelvy</t>
  </si>
  <si>
    <t>Ubrogepant</t>
  </si>
  <si>
    <t>New Launch</t>
  </si>
  <si>
    <t>Other Neuroscience</t>
  </si>
  <si>
    <t>Neuroscience</t>
  </si>
  <si>
    <t>Lumigan/Ganfort</t>
  </si>
  <si>
    <t>Bimatoprost</t>
  </si>
  <si>
    <t>Ophthalmology</t>
  </si>
  <si>
    <t>Alphagan/Combigan</t>
  </si>
  <si>
    <t>Brimonidine Tartrate/Timolol Maleate</t>
  </si>
  <si>
    <t>Restasis</t>
  </si>
  <si>
    <t>Cyclosporine</t>
  </si>
  <si>
    <t>Other Eye Care</t>
  </si>
  <si>
    <t>Eye Care</t>
  </si>
  <si>
    <t>Lo Loestrin</t>
  </si>
  <si>
    <t>Norethindrone Acetate/Ethinyl Estradiol</t>
  </si>
  <si>
    <t>Urology</t>
  </si>
  <si>
    <t xml:space="preserve">Orilissa/Oriahnn </t>
  </si>
  <si>
    <t>Elagolix</t>
  </si>
  <si>
    <t>Women's Healthcare</t>
  </si>
  <si>
    <t>Other Women's Health</t>
  </si>
  <si>
    <t>Women's Health</t>
  </si>
  <si>
    <t>Mavyret</t>
  </si>
  <si>
    <t>Glecaprevir/Pibrentasvir</t>
  </si>
  <si>
    <t>Infectious Diseases</t>
  </si>
  <si>
    <t>Creon</t>
  </si>
  <si>
    <t>Pancrelipase</t>
  </si>
  <si>
    <t>Rare Disorders</t>
  </si>
  <si>
    <t>Lupron</t>
  </si>
  <si>
    <t>Leuprolide Acetate</t>
  </si>
  <si>
    <t>Linzess/Constella</t>
  </si>
  <si>
    <t>Linaclotide</t>
  </si>
  <si>
    <t>Gastrointestinal Disorders</t>
  </si>
  <si>
    <t>Synthroid</t>
  </si>
  <si>
    <t>Levothyroxine Sodium</t>
  </si>
  <si>
    <t>Hormonal Disorders</t>
  </si>
  <si>
    <t>Total Revenues</t>
  </si>
  <si>
    <t>Alcon</t>
  </si>
  <si>
    <t xml:space="preserve">Consumables </t>
  </si>
  <si>
    <t>Equipment/other</t>
  </si>
  <si>
    <t xml:space="preserve">Total Surgical </t>
  </si>
  <si>
    <t>Contact lenses</t>
  </si>
  <si>
    <t>Ocular health</t>
  </si>
  <si>
    <t>Total Vision Care</t>
  </si>
  <si>
    <t>Net sales to third parties</t>
  </si>
  <si>
    <t>Alexion</t>
  </si>
  <si>
    <t>Ultomiris</t>
  </si>
  <si>
    <t>Ravulizumab‑cwvz</t>
  </si>
  <si>
    <t>Hematology</t>
  </si>
  <si>
    <t xml:space="preserve">Strensiq </t>
  </si>
  <si>
    <t>Asfotase Alfa</t>
  </si>
  <si>
    <t>Metabolic Disorders</t>
  </si>
  <si>
    <t>Andexxa</t>
  </si>
  <si>
    <t>coagulation factor Xa (recombinant), inactivated-zhzo</t>
  </si>
  <si>
    <t xml:space="preserve">Kanuma </t>
  </si>
  <si>
    <t>Sebelipase Alfa</t>
  </si>
  <si>
    <t>Other Revenue</t>
  </si>
  <si>
    <t>Total Net Product Sales</t>
  </si>
  <si>
    <t>Amgen</t>
  </si>
  <si>
    <t>Evenity</t>
  </si>
  <si>
    <t>Romosozumab-aqqg</t>
  </si>
  <si>
    <t>Musculoskeletal</t>
  </si>
  <si>
    <t>Repatha</t>
  </si>
  <si>
    <t>Evolocumab</t>
  </si>
  <si>
    <t>Cardiovascular Diseases</t>
  </si>
  <si>
    <t>Aimovig</t>
  </si>
  <si>
    <t>Erenumab</t>
  </si>
  <si>
    <t>Parasbiv</t>
  </si>
  <si>
    <t>Etelcalcetide</t>
  </si>
  <si>
    <t>Otezla</t>
  </si>
  <si>
    <t>Apremilast</t>
  </si>
  <si>
    <t>Enbrel</t>
  </si>
  <si>
    <t>Etanercept</t>
  </si>
  <si>
    <t>Amgevita</t>
  </si>
  <si>
    <t>Adalimumab</t>
  </si>
  <si>
    <t>Kyprolis</t>
  </si>
  <si>
    <t>Carfilzomib</t>
  </si>
  <si>
    <t>Xgeva</t>
  </si>
  <si>
    <t>Denosumab</t>
  </si>
  <si>
    <t>Vectibix</t>
  </si>
  <si>
    <t>Panitumumab</t>
  </si>
  <si>
    <t>Nplate</t>
  </si>
  <si>
    <t>Romiplostim</t>
  </si>
  <si>
    <t>Blincyto</t>
  </si>
  <si>
    <t>Blinatumomab</t>
  </si>
  <si>
    <t>Mvasi</t>
  </si>
  <si>
    <t>Bevacizumab-awwb</t>
  </si>
  <si>
    <t>Kanjinti</t>
  </si>
  <si>
    <t>Trastuzumab</t>
  </si>
  <si>
    <t>Neulasta</t>
  </si>
  <si>
    <t>Pegfilgrastim</t>
  </si>
  <si>
    <t>Neupogen</t>
  </si>
  <si>
    <t>Filgrastim</t>
  </si>
  <si>
    <t>Epogen</t>
  </si>
  <si>
    <t>Epoetin Alfa</t>
  </si>
  <si>
    <t>Aranesp</t>
  </si>
  <si>
    <t>Darbepoetin Alfa</t>
  </si>
  <si>
    <t>Sensipar/ Mimpara</t>
  </si>
  <si>
    <t>Cinacalcet Hydrochloride</t>
  </si>
  <si>
    <t>Total Pharmaceuticals</t>
  </si>
  <si>
    <t>Other Revenues</t>
  </si>
  <si>
    <t>Alnylam Pharma</t>
  </si>
  <si>
    <t>Givlaari</t>
  </si>
  <si>
    <t>Givosiran</t>
  </si>
  <si>
    <t>Genetic Disorders</t>
  </si>
  <si>
    <t>Oxlumo</t>
  </si>
  <si>
    <t>Lumasiran</t>
  </si>
  <si>
    <t>Net product revenues</t>
  </si>
  <si>
    <t xml:space="preserve">Regeneron Pharmaceuticals </t>
  </si>
  <si>
    <t>Vir Biotechnology</t>
  </si>
  <si>
    <t xml:space="preserve">The Medicines Company (acquired by
Novartis AG) </t>
  </si>
  <si>
    <t>Sanofi Genzyme</t>
  </si>
  <si>
    <t>Other</t>
  </si>
  <si>
    <t>Net revenues from collaborations</t>
  </si>
  <si>
    <t>AstraZeneca</t>
  </si>
  <si>
    <t>Imfinzi</t>
  </si>
  <si>
    <t>Durvalumab</t>
  </si>
  <si>
    <t>Lynparza</t>
  </si>
  <si>
    <t>Olaparib</t>
  </si>
  <si>
    <t>Calquence</t>
  </si>
  <si>
    <t>Acalabrutinib</t>
  </si>
  <si>
    <t>Koselugo</t>
  </si>
  <si>
    <t>Selumetinib</t>
  </si>
  <si>
    <t>Zoladex</t>
  </si>
  <si>
    <t>Goserelin Acetate</t>
  </si>
  <si>
    <t>Faslodex</t>
  </si>
  <si>
    <t>Fulvestrant</t>
  </si>
  <si>
    <t>Iressa</t>
  </si>
  <si>
    <t>Gefitinib</t>
  </si>
  <si>
    <t>Arimidex</t>
  </si>
  <si>
    <t>Anastrozole</t>
  </si>
  <si>
    <t>Casodex</t>
  </si>
  <si>
    <t>Bicalutamide</t>
  </si>
  <si>
    <t>Total Oncology</t>
  </si>
  <si>
    <t xml:space="preserve">Farxiga/Forxiga </t>
  </si>
  <si>
    <t>Dapagliflozin</t>
  </si>
  <si>
    <t>Diabetes</t>
  </si>
  <si>
    <t>Brilinta/Brilique</t>
  </si>
  <si>
    <t>Ticagrelor</t>
  </si>
  <si>
    <t>Onglyza/Kombiglyze XR/Komboglyze</t>
  </si>
  <si>
    <t>Saxagliptin/Saxagliptin + Metoprolol Hydrochloride</t>
  </si>
  <si>
    <t>Bydureon</t>
  </si>
  <si>
    <t>Exenatide</t>
  </si>
  <si>
    <t>Byetta</t>
  </si>
  <si>
    <t>Other Diabetes</t>
  </si>
  <si>
    <t>Lokelma</t>
  </si>
  <si>
    <t>Sodium Zirconium Cyclosilicate</t>
  </si>
  <si>
    <t>Crestor</t>
  </si>
  <si>
    <t>Rosuvastatin Calcium</t>
  </si>
  <si>
    <t>Seloken/Toprol-XL</t>
  </si>
  <si>
    <t>Metoprolol Hydrochloride</t>
  </si>
  <si>
    <t>Atacand</t>
  </si>
  <si>
    <t>Candesartan</t>
  </si>
  <si>
    <t>Total Cardiovascular and Metabolic Diseases</t>
  </si>
  <si>
    <t>Symbicort</t>
  </si>
  <si>
    <t>Budesonide and Formoterol</t>
  </si>
  <si>
    <t>Respiratory Disorders</t>
  </si>
  <si>
    <t>Pulmicort</t>
  </si>
  <si>
    <t>Budesonide</t>
  </si>
  <si>
    <t>Fasenra</t>
  </si>
  <si>
    <t>Benralizumab</t>
  </si>
  <si>
    <t>Daliresp/Daxas</t>
  </si>
  <si>
    <t>Roflumilast</t>
  </si>
  <si>
    <t>Bevespi</t>
  </si>
  <si>
    <t>Glycopyrrolate/Formoterol Fumarate</t>
  </si>
  <si>
    <t>Breztri</t>
  </si>
  <si>
    <t>Budesonide/ Glycopyrronium/ Formoterol Fumarate</t>
  </si>
  <si>
    <t>Total Respiratory, Inflammation and Autoimmunity</t>
  </si>
  <si>
    <t>Nexium</t>
  </si>
  <si>
    <t>Esomeprazole Magnesium</t>
  </si>
  <si>
    <t>Synagis</t>
  </si>
  <si>
    <t>Palivizumab</t>
  </si>
  <si>
    <t>FluMist</t>
  </si>
  <si>
    <t>Influenza Vaccine Live</t>
  </si>
  <si>
    <t>Vaccine</t>
  </si>
  <si>
    <t>Losec/Prilosec</t>
  </si>
  <si>
    <t>Omeprazole</t>
  </si>
  <si>
    <t>Seroquel XR</t>
  </si>
  <si>
    <t>Quetiapine Fumarate</t>
  </si>
  <si>
    <t>Other Products</t>
  </si>
  <si>
    <t>Total other medicines</t>
  </si>
  <si>
    <t>Product Sales</t>
  </si>
  <si>
    <t>Collaboration Revenue</t>
  </si>
  <si>
    <t>Total Revenue</t>
  </si>
  <si>
    <t>Astellas</t>
  </si>
  <si>
    <t>YEN</t>
  </si>
  <si>
    <t>Billions</t>
  </si>
  <si>
    <t>Xospata</t>
  </si>
  <si>
    <t>Gilteritinib</t>
  </si>
  <si>
    <t>Padcev</t>
  </si>
  <si>
    <t>Enfortumab Vedotin-ejfv</t>
  </si>
  <si>
    <t>Betanis/Myrbetriq/Betmiga</t>
  </si>
  <si>
    <t>Mirabegron</t>
  </si>
  <si>
    <t>Nephrology</t>
  </si>
  <si>
    <t>Vesicare</t>
  </si>
  <si>
    <t>Solifenacin Succinate</t>
  </si>
  <si>
    <t>Prograf</t>
  </si>
  <si>
    <t>Tacrolimus</t>
  </si>
  <si>
    <t>Harnal/Omnic</t>
  </si>
  <si>
    <t>Tamsulosin</t>
  </si>
  <si>
    <t>Funguard/Mycamine</t>
  </si>
  <si>
    <t>Micafungin Sodium</t>
  </si>
  <si>
    <t>Eligard</t>
  </si>
  <si>
    <t>Leuprorelin</t>
  </si>
  <si>
    <t>Suglat</t>
  </si>
  <si>
    <t>Ipragliflozin</t>
  </si>
  <si>
    <t>Linzess</t>
  </si>
  <si>
    <t>Celecox</t>
  </si>
  <si>
    <t>Celecoxib</t>
  </si>
  <si>
    <t xml:space="preserve">Symbicort </t>
  </si>
  <si>
    <t>Geninax</t>
  </si>
  <si>
    <t>Garenoxacin</t>
  </si>
  <si>
    <t>Vaccines</t>
  </si>
  <si>
    <t>Gonax</t>
  </si>
  <si>
    <t>Degarelix Acetate</t>
  </si>
  <si>
    <t>Cimzia</t>
  </si>
  <si>
    <t>Certolizumab Pegol</t>
  </si>
  <si>
    <t>Micardis</t>
  </si>
  <si>
    <t>Telmisartan</t>
  </si>
  <si>
    <t>Bonoteo</t>
  </si>
  <si>
    <t>Minodronic Acid</t>
  </si>
  <si>
    <t>Lipitor</t>
  </si>
  <si>
    <t>Atorvastatin Calcium</t>
  </si>
  <si>
    <t>Myslee</t>
  </si>
  <si>
    <t>Zolpidem</t>
  </si>
  <si>
    <t>Ambisome</t>
  </si>
  <si>
    <t>Amphotericin B</t>
  </si>
  <si>
    <t>Cresemba</t>
  </si>
  <si>
    <t>Isavuconazonium Sulfate</t>
  </si>
  <si>
    <t>Scan</t>
  </si>
  <si>
    <t>Tarceva</t>
  </si>
  <si>
    <t>Erlotinib</t>
  </si>
  <si>
    <t>Feburic</t>
  </si>
  <si>
    <t>Febuxostat</t>
  </si>
  <si>
    <t>Baxter</t>
  </si>
  <si>
    <t>Medication Delivery</t>
  </si>
  <si>
    <t>Pharmaceuticals</t>
  </si>
  <si>
    <t>Clinical Nutrition</t>
  </si>
  <si>
    <t xml:space="preserve">Nutritional Deficiency </t>
  </si>
  <si>
    <t>Advanced Surgery</t>
  </si>
  <si>
    <t>Acute Therapies</t>
  </si>
  <si>
    <t>Bavarian Nordic</t>
  </si>
  <si>
    <t>DKK</t>
  </si>
  <si>
    <t>Buyed from GSK</t>
  </si>
  <si>
    <t>Encepur</t>
  </si>
  <si>
    <t>Tick-Borne Encephalitis (TBE) virus/strain</t>
  </si>
  <si>
    <t>Jynneos</t>
  </si>
  <si>
    <t>Modified Vaccinia Ankara, MVA-BN</t>
  </si>
  <si>
    <t>Milestone payments</t>
  </si>
  <si>
    <t>Contract work</t>
  </si>
  <si>
    <t>Bayer</t>
  </si>
  <si>
    <t>EURO</t>
  </si>
  <si>
    <t>Eylea</t>
  </si>
  <si>
    <t>Aflibercept</t>
  </si>
  <si>
    <t>Mirena/ Kyleena/ Jaydess</t>
  </si>
  <si>
    <t>Levonorgestrel</t>
  </si>
  <si>
    <t>Kogenate/Kovaltry/ Jivi</t>
  </si>
  <si>
    <t>Antihemophilic Factor (Recombinant)</t>
  </si>
  <si>
    <t>YAZ/Yasim/Yasminelle</t>
  </si>
  <si>
    <t>Drospirenone and Ethinyl Estradiol</t>
  </si>
  <si>
    <t>Nexavar</t>
  </si>
  <si>
    <t>Sorafenib</t>
  </si>
  <si>
    <t>Aspirin Cardio</t>
  </si>
  <si>
    <t>Acetylsalicylic Acid</t>
  </si>
  <si>
    <t>Adempas</t>
  </si>
  <si>
    <t>Riociguat</t>
  </si>
  <si>
    <t>Adalat</t>
  </si>
  <si>
    <t>Nifedipine</t>
  </si>
  <si>
    <t>Stivarga</t>
  </si>
  <si>
    <t>Regorafenib</t>
  </si>
  <si>
    <t>Betaferon/Betaseron</t>
  </si>
  <si>
    <t>Interferon Beta-1b</t>
  </si>
  <si>
    <t>CT Fluid Delivery</t>
  </si>
  <si>
    <t>Gadovist product family</t>
  </si>
  <si>
    <t>Ezetimibe</t>
  </si>
  <si>
    <t>Ultravist</t>
  </si>
  <si>
    <t>Iopromide</t>
  </si>
  <si>
    <t>Xofigo</t>
  </si>
  <si>
    <t>Radium-223 dichloride</t>
  </si>
  <si>
    <t>Total Best-selling products</t>
  </si>
  <si>
    <t>Consumer Health</t>
  </si>
  <si>
    <t>Crop Science</t>
  </si>
  <si>
    <t>Animal Health</t>
  </si>
  <si>
    <t>Total Group Sales</t>
  </si>
  <si>
    <t>Biogen</t>
  </si>
  <si>
    <t>Vumerity</t>
  </si>
  <si>
    <t>Diroximel Fumarate</t>
  </si>
  <si>
    <t>Total Fumarate</t>
  </si>
  <si>
    <t xml:space="preserve">Avonex </t>
  </si>
  <si>
    <t>Interferon Beta-1a</t>
  </si>
  <si>
    <t>Plegridy</t>
  </si>
  <si>
    <t>Total Interferon</t>
  </si>
  <si>
    <t>Tysabri</t>
  </si>
  <si>
    <t>Natalizumab</t>
  </si>
  <si>
    <t>Fampyra</t>
  </si>
  <si>
    <t>Fampridine</t>
  </si>
  <si>
    <t>Total Multiple Sclerosis</t>
  </si>
  <si>
    <t>Spinraza</t>
  </si>
  <si>
    <t>Nusinersen</t>
  </si>
  <si>
    <t>Spinal Muscular Atrophy</t>
  </si>
  <si>
    <t>Benepali</t>
  </si>
  <si>
    <t>Flixabi</t>
  </si>
  <si>
    <t>Infliximab </t>
  </si>
  <si>
    <t>Imraldi</t>
  </si>
  <si>
    <t>Subtotal: Biosimilars product revenues</t>
  </si>
  <si>
    <t>Fumaderm</t>
  </si>
  <si>
    <t>Fumaric acid esters</t>
  </si>
  <si>
    <t>Total Product Revenues</t>
  </si>
  <si>
    <t>Ocrevus Royalties</t>
  </si>
  <si>
    <t>Ocrelizumab</t>
  </si>
  <si>
    <t>Rituxan/Gazyva
Revenues</t>
  </si>
  <si>
    <t>Rituximab</t>
  </si>
  <si>
    <t>Biomarin</t>
  </si>
  <si>
    <t>Kuvan</t>
  </si>
  <si>
    <t>Sapropterin Dihydrochloride</t>
  </si>
  <si>
    <t>Naglazyme</t>
  </si>
  <si>
    <t>Galsulfase</t>
  </si>
  <si>
    <t>Palynziq</t>
  </si>
  <si>
    <t>Pegvaliase-pqpz</t>
  </si>
  <si>
    <t>Brineura</t>
  </si>
  <si>
    <t>Cerliponase Alfa</t>
  </si>
  <si>
    <t>Firdapse</t>
  </si>
  <si>
    <t>Amifampridine</t>
  </si>
  <si>
    <t>Net Product Revenues</t>
  </si>
  <si>
    <t>Aldurazyme net product revenues marketed by
Sanofi Genzyme</t>
  </si>
  <si>
    <t>Laronidase</t>
  </si>
  <si>
    <t>Total Net Product Revenues</t>
  </si>
  <si>
    <t>Royalty and Other Revenues</t>
  </si>
  <si>
    <t>Bausch Health</t>
  </si>
  <si>
    <t>Soflens</t>
  </si>
  <si>
    <t>renu</t>
  </si>
  <si>
    <t>Biotrue ONEday</t>
  </si>
  <si>
    <t>Bausch + Lomb ULTRA</t>
  </si>
  <si>
    <t>Biotrue Multipurpose Solution</t>
  </si>
  <si>
    <t>Artelac</t>
  </si>
  <si>
    <t>Carbomer, Medium Chain Triglycerides</t>
  </si>
  <si>
    <t>PureVision</t>
  </si>
  <si>
    <t>Anterior Disposables</t>
  </si>
  <si>
    <t>Boston Solutions</t>
  </si>
  <si>
    <t>Xifaxan</t>
  </si>
  <si>
    <t>Rifaximin</t>
  </si>
  <si>
    <t>Wellbutrin</t>
  </si>
  <si>
    <t>Bupropion</t>
  </si>
  <si>
    <t>Thermage</t>
  </si>
  <si>
    <t>Relistor</t>
  </si>
  <si>
    <t>Methylnaltrexone Bromide</t>
  </si>
  <si>
    <t>Bausch Health &amp; 
Bausch + Lomb/International</t>
  </si>
  <si>
    <t>Wellbutrin </t>
  </si>
  <si>
    <t>Aplenzin </t>
  </si>
  <si>
    <t>Bupropion Hydrobromide</t>
  </si>
  <si>
    <t>Arestin</t>
  </si>
  <si>
    <t>Minocycline HCl</t>
  </si>
  <si>
    <t>Ativan</t>
  </si>
  <si>
    <t>Lorazepam</t>
  </si>
  <si>
    <t>Neo/Poly/Hc Otic</t>
  </si>
  <si>
    <t>Neomycin, Polymyxin, Hydrocortisone</t>
  </si>
  <si>
    <t>Tobramycin/
Dexamethasone</t>
  </si>
  <si>
    <t>Tobramycin,
Dexamethasone</t>
  </si>
  <si>
    <t>Pepcid</t>
  </si>
  <si>
    <t>Famotidine</t>
  </si>
  <si>
    <t>Diastat</t>
  </si>
  <si>
    <t>Diazepam</t>
  </si>
  <si>
    <t>Librax</t>
  </si>
  <si>
    <t>Chlordiazepoxide, Clidinium bromide</t>
  </si>
  <si>
    <t>Xenazine </t>
  </si>
  <si>
    <t>Tetrabenazine</t>
  </si>
  <si>
    <t>Total U.S. Diversified Revenues</t>
  </si>
  <si>
    <t>Salix</t>
  </si>
  <si>
    <t>Ortho Dermatologics</t>
  </si>
  <si>
    <t>Boehringer Ingelheim</t>
  </si>
  <si>
    <t>Ofev</t>
  </si>
  <si>
    <t>Nintedanib</t>
  </si>
  <si>
    <t>Spiriva</t>
  </si>
  <si>
    <t>Tiotropium bromide</t>
  </si>
  <si>
    <t>Trajenta/ Jentadueto</t>
  </si>
  <si>
    <t>Linagliptin and Metformin Hydrochloride</t>
  </si>
  <si>
    <t>Pradaxa</t>
  </si>
  <si>
    <t>Dabigatran Etexilate</t>
  </si>
  <si>
    <t>Other sales</t>
  </si>
  <si>
    <t>Human Pharma</t>
  </si>
  <si>
    <t>Nexgard</t>
  </si>
  <si>
    <t>Afoxolaner</t>
  </si>
  <si>
    <t>Frontline</t>
  </si>
  <si>
    <t>Fipronil</t>
  </si>
  <si>
    <t>Heartgard</t>
  </si>
  <si>
    <t>Ivermectin/Pyrantel</t>
  </si>
  <si>
    <t>Ingelvac Circoflex / Flexcombo</t>
  </si>
  <si>
    <t>Recombinant Vaccine
(porcine circovirus
type 2, PCV2)</t>
  </si>
  <si>
    <t>Biopharmaceutical Contract Manufacturing</t>
  </si>
  <si>
    <t>Discontinued Operations</t>
  </si>
  <si>
    <t>Net sales</t>
  </si>
  <si>
    <t>Bristol Myers Squibb</t>
  </si>
  <si>
    <t>Eliquis</t>
  </si>
  <si>
    <t>Apixaban</t>
  </si>
  <si>
    <t>Opdivo</t>
  </si>
  <si>
    <t>Nivolumab</t>
  </si>
  <si>
    <t>Orencia</t>
  </si>
  <si>
    <t>Abatacept</t>
  </si>
  <si>
    <t>Pomalyst/Imnovid</t>
  </si>
  <si>
    <t>Pomalidomide</t>
  </si>
  <si>
    <t>Sprycel</t>
  </si>
  <si>
    <t>Dasatinib</t>
  </si>
  <si>
    <t>Yervoy</t>
  </si>
  <si>
    <t>Ipilimumab</t>
  </si>
  <si>
    <t>Abraxane</t>
  </si>
  <si>
    <t>Paclitaxel Protein Bound</t>
  </si>
  <si>
    <t>Empliciti</t>
  </si>
  <si>
    <t>Elotuzumab</t>
  </si>
  <si>
    <t>Reblozyl</t>
  </si>
  <si>
    <t>Luspatercept-aamt</t>
  </si>
  <si>
    <t>Inrebic</t>
  </si>
  <si>
    <t>Fedratinib</t>
  </si>
  <si>
    <t>Onureg</t>
  </si>
  <si>
    <t>Azacitidine</t>
  </si>
  <si>
    <t>Zeposia</t>
  </si>
  <si>
    <t>Ozanimod Hydrochloride</t>
  </si>
  <si>
    <t>Neurology</t>
  </si>
  <si>
    <t>Prioritized Brands</t>
  </si>
  <si>
    <t>Vidaza</t>
  </si>
  <si>
    <t>Baraclude</t>
  </si>
  <si>
    <t>Entecavir</t>
  </si>
  <si>
    <t>Other Brands</t>
  </si>
  <si>
    <t>Established Brands</t>
  </si>
  <si>
    <t>Chugai Pharma</t>
  </si>
  <si>
    <t>Bone and Joint Diseases</t>
  </si>
  <si>
    <t>Overseas</t>
  </si>
  <si>
    <t>Domestic Sales</t>
  </si>
  <si>
    <t>Royalties and Other Operating Income</t>
  </si>
  <si>
    <t>Cosmo Pharmaceuticals</t>
  </si>
  <si>
    <t>Cortiment</t>
  </si>
  <si>
    <t>Mezavant/Mesavancol/Lialda</t>
  </si>
  <si>
    <t>Mesalazine</t>
  </si>
  <si>
    <t>Aemcolo</t>
  </si>
  <si>
    <t>Rifamycin</t>
  </si>
  <si>
    <t>Generic</t>
  </si>
  <si>
    <t>Licence fees, up-front fees and milestones</t>
  </si>
  <si>
    <t>Total revenue</t>
  </si>
  <si>
    <t>Daiichi Sankyo</t>
  </si>
  <si>
    <t>Lixiana</t>
  </si>
  <si>
    <t>Edoxaban</t>
  </si>
  <si>
    <t>Pralia</t>
  </si>
  <si>
    <t>Memary</t>
  </si>
  <si>
    <t>Memantine</t>
  </si>
  <si>
    <t>Tenelia</t>
  </si>
  <si>
    <t>Teneligliptin</t>
  </si>
  <si>
    <t>Loxonin</t>
  </si>
  <si>
    <t>Loxoprofen</t>
  </si>
  <si>
    <t>Ranmark</t>
  </si>
  <si>
    <t>Inavir</t>
  </si>
  <si>
    <t>Laninamivir</t>
  </si>
  <si>
    <t>Tarlige</t>
  </si>
  <si>
    <t>Mirogabalin Besilate</t>
  </si>
  <si>
    <t>Canalia</t>
  </si>
  <si>
    <t>Teneligliptin + Canagliflozin</t>
  </si>
  <si>
    <t>Vimpat</t>
  </si>
  <si>
    <t>Lacosamide</t>
  </si>
  <si>
    <t>Efient</t>
  </si>
  <si>
    <t>Prasugrel</t>
  </si>
  <si>
    <t>Rezaltas</t>
  </si>
  <si>
    <t>Olmesartan Medoxomil/Azelnidipine</t>
  </si>
  <si>
    <t>Olmetec</t>
  </si>
  <si>
    <t>Olmesartan Medoxomil</t>
  </si>
  <si>
    <t>Enhertu</t>
  </si>
  <si>
    <t>Trastuzumab Deruxtecan</t>
  </si>
  <si>
    <t>Daiichi Sankyo Espha products</t>
  </si>
  <si>
    <t>Vaccines business</t>
  </si>
  <si>
    <t>Japan</t>
  </si>
  <si>
    <t>Daiichi Sankyo Healthcare (OTC)</t>
  </si>
  <si>
    <t>Olmesartan</t>
  </si>
  <si>
    <t>Welchol</t>
  </si>
  <si>
    <t>Colesevelam</t>
  </si>
  <si>
    <t>Effient</t>
  </si>
  <si>
    <t>Savaysa</t>
  </si>
  <si>
    <t>Daiichi Sankyo, Inc. (US)</t>
  </si>
  <si>
    <t>Injectafer</t>
  </si>
  <si>
    <t>Ferric Carboxymaltose</t>
  </si>
  <si>
    <t>Venofer</t>
  </si>
  <si>
    <t>Iron Sucrose</t>
  </si>
  <si>
    <t>American Regent, Inc. (US)</t>
  </si>
  <si>
    <t>Daiichi Sankyo Europe GmbH</t>
  </si>
  <si>
    <t>Dainippon Sumitomo</t>
  </si>
  <si>
    <t>Trulicity</t>
  </si>
  <si>
    <t>Dulaglutide</t>
  </si>
  <si>
    <t>Trerief/Excegran</t>
  </si>
  <si>
    <t>Zonisamide</t>
  </si>
  <si>
    <t>Replagal</t>
  </si>
  <si>
    <t>Agalsidase alfa</t>
  </si>
  <si>
    <t>Metgluco</t>
  </si>
  <si>
    <t>Biguanide</t>
  </si>
  <si>
    <t>Latuda</t>
  </si>
  <si>
    <t>Lurasidone</t>
  </si>
  <si>
    <t>Lonasen</t>
  </si>
  <si>
    <t>Blonanserin</t>
  </si>
  <si>
    <t>Amlodin</t>
  </si>
  <si>
    <t>Amlodipine</t>
  </si>
  <si>
    <t>Surepost</t>
  </si>
  <si>
    <t>Repaglinide</t>
  </si>
  <si>
    <t>Authorized Generics</t>
  </si>
  <si>
    <t>Brovana</t>
  </si>
  <si>
    <t>Arformoterol</t>
  </si>
  <si>
    <t>Aptiom</t>
  </si>
  <si>
    <t>Eslicarbazepine</t>
  </si>
  <si>
    <t>Lonhala Magnair</t>
  </si>
  <si>
    <t>Glycopyrrolate</t>
  </si>
  <si>
    <t>Xopenex</t>
  </si>
  <si>
    <t>Levalbuterol</t>
  </si>
  <si>
    <t>Meropen</t>
  </si>
  <si>
    <t>Meropenem Hydrate</t>
  </si>
  <si>
    <t>Eisai</t>
  </si>
  <si>
    <t>Humira</t>
  </si>
  <si>
    <t>Lyrica</t>
  </si>
  <si>
    <t>Pregabalin</t>
  </si>
  <si>
    <t>Aricept</t>
  </si>
  <si>
    <t>Donepezil</t>
  </si>
  <si>
    <t>Fycompa</t>
  </si>
  <si>
    <t>Perampanel</t>
  </si>
  <si>
    <t>Inovelan/Banzel</t>
  </si>
  <si>
    <t>Rufinamide</t>
  </si>
  <si>
    <t>Lunesta</t>
  </si>
  <si>
    <t>Eszopiclone</t>
  </si>
  <si>
    <t>Zebinix</t>
  </si>
  <si>
    <t>Eslicarbazepine Acetate</t>
  </si>
  <si>
    <t>Zonegran</t>
  </si>
  <si>
    <t>Lenvima</t>
  </si>
  <si>
    <t>Lenvatinib</t>
  </si>
  <si>
    <t>Halaven</t>
  </si>
  <si>
    <t>Eribulin</t>
  </si>
  <si>
    <t>Treakisym/Symbenda</t>
  </si>
  <si>
    <t>Bendamustine</t>
  </si>
  <si>
    <t>Pariet</t>
  </si>
  <si>
    <t>Rabeprazole</t>
  </si>
  <si>
    <t>Elental</t>
  </si>
  <si>
    <t>Branched-chain Amino Acid Preparation</t>
  </si>
  <si>
    <t>Banzel</t>
  </si>
  <si>
    <t>AcipHex</t>
  </si>
  <si>
    <t>Eli Lilly</t>
  </si>
  <si>
    <t>Humalog</t>
  </si>
  <si>
    <t>Insulin Lispro</t>
  </si>
  <si>
    <t>Humulin</t>
  </si>
  <si>
    <t>Insulin Isophane</t>
  </si>
  <si>
    <t>Jardiance</t>
  </si>
  <si>
    <t>Empagliflozin</t>
  </si>
  <si>
    <t>Basaglar</t>
  </si>
  <si>
    <t xml:space="preserve">Insulin Glargine </t>
  </si>
  <si>
    <t>Trajenta</t>
  </si>
  <si>
    <t>Linagliptin</t>
  </si>
  <si>
    <t xml:space="preserve">Total Diabetes </t>
  </si>
  <si>
    <t>Alimta</t>
  </si>
  <si>
    <t>Pemetrexed</t>
  </si>
  <si>
    <t>Cyramza</t>
  </si>
  <si>
    <t>Ramucirumab</t>
  </si>
  <si>
    <t>Verzenio</t>
  </si>
  <si>
    <t>Abemaciclib</t>
  </si>
  <si>
    <t>Erbitux</t>
  </si>
  <si>
    <t>Cetuximab</t>
  </si>
  <si>
    <t>Other Oncology</t>
  </si>
  <si>
    <t>Taltz</t>
  </si>
  <si>
    <t>Ixekizumab</t>
  </si>
  <si>
    <t>Olumiant</t>
  </si>
  <si>
    <t>Baricitinib</t>
  </si>
  <si>
    <t>Other Immunology</t>
  </si>
  <si>
    <t>Total Immunology</t>
  </si>
  <si>
    <t>Cymbalta</t>
  </si>
  <si>
    <t>Duloxetine</t>
  </si>
  <si>
    <t>Zyprexa</t>
  </si>
  <si>
    <t>Olanzapine</t>
  </si>
  <si>
    <t>Emgality</t>
  </si>
  <si>
    <t>Galcanezumab</t>
  </si>
  <si>
    <t>Total Neuroscience</t>
  </si>
  <si>
    <t>Forteo</t>
  </si>
  <si>
    <t>Teriparatide</t>
  </si>
  <si>
    <t>Bamlanivimab</t>
  </si>
  <si>
    <t>Cialis</t>
  </si>
  <si>
    <t>Tadalafil</t>
  </si>
  <si>
    <t xml:space="preserve">Other </t>
  </si>
  <si>
    <t>Total Other</t>
  </si>
  <si>
    <t>Endo Pharma</t>
  </si>
  <si>
    <t>Supprelin LA</t>
  </si>
  <si>
    <t>Histrelin Acetate</t>
  </si>
  <si>
    <t>Other Specialty</t>
  </si>
  <si>
    <t>Total Specialty Products</t>
  </si>
  <si>
    <t>Percocet</t>
  </si>
  <si>
    <t>Oxycodone/Paracetamol</t>
  </si>
  <si>
    <t>Testopel</t>
  </si>
  <si>
    <t>Diclofenac Sodium</t>
  </si>
  <si>
    <t>Other Established</t>
  </si>
  <si>
    <t>Total Established Products</t>
  </si>
  <si>
    <t>Total Branded Pharmaceuticals</t>
  </si>
  <si>
    <t>Vasostrict</t>
  </si>
  <si>
    <t>Vasopressin</t>
  </si>
  <si>
    <t>Adrenalin</t>
  </si>
  <si>
    <t>Adrenaline</t>
  </si>
  <si>
    <t>Ertapenem for Injection</t>
  </si>
  <si>
    <t>Ertapenem</t>
  </si>
  <si>
    <t>Aplisol</t>
  </si>
  <si>
    <t>Tuberculin</t>
  </si>
  <si>
    <t>Other Sterile Injectables</t>
  </si>
  <si>
    <t>Total Sterile Injectables</t>
  </si>
  <si>
    <t>Total Generic Pharmaceuticals</t>
  </si>
  <si>
    <t>Total International Pharmaceuticals</t>
  </si>
  <si>
    <t>Fresenius SE &amp; Co. KGaA</t>
  </si>
  <si>
    <t>GlaxoSmithKline</t>
  </si>
  <si>
    <t>GBP</t>
  </si>
  <si>
    <t>Arnuity Ellipta</t>
  </si>
  <si>
    <t>Fluticasone Furoate</t>
  </si>
  <si>
    <t>Incruse Ellipta</t>
  </si>
  <si>
    <t>Umeclidinium</t>
  </si>
  <si>
    <t>Relvar/Breo Ellipta</t>
  </si>
  <si>
    <t>Fluticasone Furoate </t>
  </si>
  <si>
    <t>Trelegy Ellipta</t>
  </si>
  <si>
    <t>Fluticasone Furoate, Vilanterol Trifenatate and Umeclidinium Bromide</t>
  </si>
  <si>
    <t>Ellipta Products</t>
  </si>
  <si>
    <t>Nucala</t>
  </si>
  <si>
    <t>Mepolizumab</t>
  </si>
  <si>
    <t>Total Respiratory</t>
  </si>
  <si>
    <t>Tivicay</t>
  </si>
  <si>
    <t>Dolutegravir</t>
  </si>
  <si>
    <t>Triumeq</t>
  </si>
  <si>
    <t>Abacavir, Dolutegravir and Lamivudine</t>
  </si>
  <si>
    <t>Juluca</t>
  </si>
  <si>
    <t>Dolutegravir and Rilpivirine</t>
  </si>
  <si>
    <t>Dovato</t>
  </si>
  <si>
    <t>Dolutegravir and Lamivudine</t>
  </si>
  <si>
    <t>Epzicom/Kivexa</t>
  </si>
  <si>
    <t>Abacavir and Lamivudine</t>
  </si>
  <si>
    <t>Selzentry</t>
  </si>
  <si>
    <t>Maraviroc</t>
  </si>
  <si>
    <t>Rukobia</t>
  </si>
  <si>
    <t>Fostemsavir</t>
  </si>
  <si>
    <t xml:space="preserve">Others </t>
  </si>
  <si>
    <t>Dolutegravir products</t>
  </si>
  <si>
    <t>Total HIV</t>
  </si>
  <si>
    <t>Benlysta</t>
  </si>
  <si>
    <t>Belimumab</t>
  </si>
  <si>
    <t>Total Immuno-Inflammation</t>
  </si>
  <si>
    <t>Zejula</t>
  </si>
  <si>
    <t>Niraparib</t>
  </si>
  <si>
    <t>Blenrep</t>
  </si>
  <si>
    <t>Belantamab Mafodotin</t>
  </si>
  <si>
    <t>Pharmaceuticals excluding
established products</t>
  </si>
  <si>
    <t>Seretide/Advair</t>
  </si>
  <si>
    <t>Salmeterol</t>
  </si>
  <si>
    <t>Flixotide/Flovent</t>
  </si>
  <si>
    <t>Fluticasone Propionate</t>
  </si>
  <si>
    <t>Ventolin</t>
  </si>
  <si>
    <t>Albuterol</t>
  </si>
  <si>
    <t>Avamys/Veramyst</t>
  </si>
  <si>
    <t>Augmentin</t>
  </si>
  <si>
    <t>Amoxicillin and Clavulanate Potassium</t>
  </si>
  <si>
    <t>Avodart</t>
  </si>
  <si>
    <t>Dutasteride</t>
  </si>
  <si>
    <t>Imigran/Imitrex</t>
  </si>
  <si>
    <t>Sumatriptan Succinate</t>
  </si>
  <si>
    <t>Lamictal</t>
  </si>
  <si>
    <t>Lamotrigine</t>
  </si>
  <si>
    <t>Seroxat/Paxil</t>
  </si>
  <si>
    <t>Paroxetine Hydrochloride Hemihydrate</t>
  </si>
  <si>
    <t>Valtrex</t>
  </si>
  <si>
    <t>Valacyclovir</t>
  </si>
  <si>
    <t>Established Respiratory</t>
  </si>
  <si>
    <t>Established Pharmaceuticals</t>
  </si>
  <si>
    <t xml:space="preserve">Bexsero </t>
  </si>
  <si>
    <t>Meningococcal Vaccine</t>
  </si>
  <si>
    <t>Menveo</t>
  </si>
  <si>
    <t>Total Meningitis</t>
  </si>
  <si>
    <t>Fluarix/FluLaval</t>
  </si>
  <si>
    <t>Influenza Vaccine</t>
  </si>
  <si>
    <t>Total Influenza</t>
  </si>
  <si>
    <t>Shingrix</t>
  </si>
  <si>
    <t>Zoster Vaccine Recombinant, Adjuvanted</t>
  </si>
  <si>
    <t>Total Shingles</t>
  </si>
  <si>
    <t>Infanrix/Pediarix</t>
  </si>
  <si>
    <t>Diphtheria, Tetanus Acellular, and Pertussis</t>
  </si>
  <si>
    <t>Boostrix</t>
  </si>
  <si>
    <t>Hepatitis</t>
  </si>
  <si>
    <t>Rotarix</t>
  </si>
  <si>
    <t>Synflorix</t>
  </si>
  <si>
    <t>Priorix/Priorix Tetra/Varilrix</t>
  </si>
  <si>
    <t>Cervarix</t>
  </si>
  <si>
    <t xml:space="preserve">Human Papillomavirus Bivalent </t>
  </si>
  <si>
    <t>Established Vaccines</t>
  </si>
  <si>
    <t>Total Vaccines</t>
  </si>
  <si>
    <t>Consumer Healthcare Turnover</t>
  </si>
  <si>
    <t>Corporate and other unallocated turnover</t>
  </si>
  <si>
    <t>Gilead</t>
  </si>
  <si>
    <t>Descovy</t>
  </si>
  <si>
    <t>Emtricitabine and Tenofovir Alafenamide</t>
  </si>
  <si>
    <t>Genvoya</t>
  </si>
  <si>
    <t>Elvitegravir, Cobicistat, Emtricitabine and Tenofovir Alafenamide</t>
  </si>
  <si>
    <t>Odefsey</t>
  </si>
  <si>
    <t>Emtricitabine, Rilpivirine, and Tenofovir Alafenamide</t>
  </si>
  <si>
    <t>Symtuza</t>
  </si>
  <si>
    <t>Darunavir, Cobicistat, Emtricitabine and Tenofovir Alafenamide</t>
  </si>
  <si>
    <t>Total Descovy (FTC/TAF) Based Products</t>
  </si>
  <si>
    <t>Atripla</t>
  </si>
  <si>
    <t>Efavirenz, Emtricitabine and Tenofovir Disoproxil Fumarate</t>
  </si>
  <si>
    <t>Complera/Eviplera</t>
  </si>
  <si>
    <t>Rilpivirine, Emtricitabine and Tenofovir Disoproxil Fumarate</t>
  </si>
  <si>
    <t>Stribild</t>
  </si>
  <si>
    <t>Cobicistat, Elvitegravir, Emtricitabine and Tenofovir Disoproxil Fumarate</t>
  </si>
  <si>
    <t>Truvada</t>
  </si>
  <si>
    <t>Emtricitabine, and Tenofovir Disoproxil Fumarate</t>
  </si>
  <si>
    <t>Total Truvada (FTC/TDF) Based Products</t>
  </si>
  <si>
    <t>Other HIV</t>
  </si>
  <si>
    <t>Harvoni</t>
  </si>
  <si>
    <t>Ledipasvir and Sofosbuvir</t>
  </si>
  <si>
    <t>Epclusa</t>
  </si>
  <si>
    <t>Sofosbuvir and Velpatasvir</t>
  </si>
  <si>
    <t>Other HCV</t>
  </si>
  <si>
    <t>Total HCV</t>
  </si>
  <si>
    <t>Veklury</t>
  </si>
  <si>
    <t>Remdesivir</t>
  </si>
  <si>
    <t>Tecartus</t>
  </si>
  <si>
    <t>Brexucabtagene Autoleucel</t>
  </si>
  <si>
    <t>Yescarta</t>
  </si>
  <si>
    <t>Axicabtagene Ciloleucel</t>
  </si>
  <si>
    <t>Total Cell Therapy</t>
  </si>
  <si>
    <t>Trodelvy - U.S.</t>
  </si>
  <si>
    <t>Sacituzumab Govitecan</t>
  </si>
  <si>
    <t>Acquired by Gilead from Immunomedics</t>
  </si>
  <si>
    <t>AmBisome</t>
  </si>
  <si>
    <t>Letairis</t>
  </si>
  <si>
    <t>Ambrisentan</t>
  </si>
  <si>
    <t>Ranexa</t>
  </si>
  <si>
    <t>Ranolazine</t>
  </si>
  <si>
    <t>Vemlidy</t>
  </si>
  <si>
    <t>Tenofovir Disoproxil Fumarate</t>
  </si>
  <si>
    <t>Viread</t>
  </si>
  <si>
    <t>Zydelig</t>
  </si>
  <si>
    <t>Idelalisib</t>
  </si>
  <si>
    <t>Total Others Products Sales</t>
  </si>
  <si>
    <t>Total Product Sales</t>
  </si>
  <si>
    <t>Royalty Contract and Other Revenues</t>
  </si>
  <si>
    <t>Ionis Pharmaceuticals</t>
  </si>
  <si>
    <t xml:space="preserve">Product sales, net </t>
  </si>
  <si>
    <t>Licensing and royalty revenue</t>
  </si>
  <si>
    <t>Total commercial revenue</t>
  </si>
  <si>
    <t>Amortization from upfront payments</t>
  </si>
  <si>
    <t>License fees</t>
  </si>
  <si>
    <t>Other services</t>
  </si>
  <si>
    <t>Total R&amp;D revenue</t>
  </si>
  <si>
    <t>Ipsen</t>
  </si>
  <si>
    <t>Decapeptyl</t>
  </si>
  <si>
    <t>Triptorelin</t>
  </si>
  <si>
    <t>Cabometyx</t>
  </si>
  <si>
    <t>Cabozantinib</t>
  </si>
  <si>
    <t>Onivyde</t>
  </si>
  <si>
    <t>Irinotecan</t>
  </si>
  <si>
    <t>Dysport</t>
  </si>
  <si>
    <t>Abobotulinumtoxin A</t>
  </si>
  <si>
    <t>NutropinAq</t>
  </si>
  <si>
    <t>Somatropin (rDNA origin)</t>
  </si>
  <si>
    <t>Increlex</t>
  </si>
  <si>
    <t>Mecasermin</t>
  </si>
  <si>
    <t xml:space="preserve">Rare Diseases </t>
  </si>
  <si>
    <t>Smecta</t>
  </si>
  <si>
    <t>Dioctahedral Smectite</t>
  </si>
  <si>
    <t>Forlax</t>
  </si>
  <si>
    <t>Macrogol</t>
  </si>
  <si>
    <t>Tanakan</t>
  </si>
  <si>
    <t xml:space="preserve">Ginkgo Biloba Extract </t>
  </si>
  <si>
    <t>Fortrans/Eziclen</t>
  </si>
  <si>
    <t>Other Consumer Healthcare</t>
  </si>
  <si>
    <t>Total Specialty Care</t>
  </si>
  <si>
    <t>Consumer Healthcare</t>
  </si>
  <si>
    <t>Group sales</t>
  </si>
  <si>
    <t>Jazz Pharma</t>
  </si>
  <si>
    <t>Xywav</t>
  </si>
  <si>
    <t>Calcium, Magnesium, Potassium, and Sodium Oxybates</t>
  </si>
  <si>
    <t>Total Oxybate</t>
  </si>
  <si>
    <t>Sunosi</t>
  </si>
  <si>
    <t>Solriamfetol</t>
  </si>
  <si>
    <t>Defitelio/defibrotide</t>
  </si>
  <si>
    <t>Defibrotide Sodium</t>
  </si>
  <si>
    <t>Erwinaze/Erwinase</t>
  </si>
  <si>
    <t>Asparaginase Erwinia Chrysanthemi</t>
  </si>
  <si>
    <t xml:space="preserve">Vyxeos </t>
  </si>
  <si>
    <t>Daunorubicin and Cytarabine</t>
  </si>
  <si>
    <t>Zepzelca</t>
  </si>
  <si>
    <t>Lurbinectedin</t>
  </si>
  <si>
    <t>Product sales, net</t>
  </si>
  <si>
    <t>Royalties and contract revenues</t>
  </si>
  <si>
    <t>Johnson &amp; Johnson</t>
  </si>
  <si>
    <t>Simponi/Simponi Aria</t>
  </si>
  <si>
    <t>Golimumab</t>
  </si>
  <si>
    <t>Stelara</t>
  </si>
  <si>
    <t>Ustekinumab</t>
  </si>
  <si>
    <t>Tremfya</t>
  </si>
  <si>
    <t>Guselkumab</t>
  </si>
  <si>
    <t>Edurant</t>
  </si>
  <si>
    <t>Rilpivirine</t>
  </si>
  <si>
    <t>Prezista/Prezcobix/Rezolsta/Symtuza</t>
  </si>
  <si>
    <t>Darunavir and Cobicistat</t>
  </si>
  <si>
    <t>Other Infectious Diseases</t>
  </si>
  <si>
    <t>Total Infectious Diseases</t>
  </si>
  <si>
    <t>Concerta</t>
  </si>
  <si>
    <t>Methylphenidate</t>
  </si>
  <si>
    <t>Invega Sustenna/ Xeplion/ Trinza/Trevicta</t>
  </si>
  <si>
    <t>Paliperidone Palmitate</t>
  </si>
  <si>
    <t xml:space="preserve">Risperdal Consta </t>
  </si>
  <si>
    <t>Risperidone</t>
  </si>
  <si>
    <t>Darzalex</t>
  </si>
  <si>
    <t>Daratumumab</t>
  </si>
  <si>
    <t>Erleada</t>
  </si>
  <si>
    <t>Apalutamide</t>
  </si>
  <si>
    <t>Velcade</t>
  </si>
  <si>
    <t>Bortezomib</t>
  </si>
  <si>
    <t>Zytiga</t>
  </si>
  <si>
    <t>Abiraterone Acetate</t>
  </si>
  <si>
    <t>Opsumit</t>
  </si>
  <si>
    <t>Macitentan</t>
  </si>
  <si>
    <t>Uptravi</t>
  </si>
  <si>
    <t>Selexipag</t>
  </si>
  <si>
    <t>Total Pulmonary Hypertension</t>
  </si>
  <si>
    <t>Xarelto</t>
  </si>
  <si>
    <t>Rivaroxaban</t>
  </si>
  <si>
    <t>Invokana/Invokamet</t>
  </si>
  <si>
    <t>Canagliflozin/Canagliflozin and Metformin HCl</t>
  </si>
  <si>
    <t>Procrit/Eprex</t>
  </si>
  <si>
    <t>Total Cardiovascular/Metabolic Disorders/Other</t>
  </si>
  <si>
    <t>OTC</t>
  </si>
  <si>
    <t>Skin Health/Beauty</t>
  </si>
  <si>
    <t>Oral Care</t>
  </si>
  <si>
    <t>Baby Care</t>
  </si>
  <si>
    <t>Wound Care/Other</t>
  </si>
  <si>
    <t>Consumer Health Care</t>
  </si>
  <si>
    <t>Total All Divisions</t>
  </si>
  <si>
    <t>Kyowa Kirin</t>
  </si>
  <si>
    <t>Darbepoetin Alfa Injection Syringe [KKF]</t>
  </si>
  <si>
    <t>Duvroq</t>
  </si>
  <si>
    <t>Daprodustat</t>
  </si>
  <si>
    <t>Regpara</t>
  </si>
  <si>
    <t>Orkedia</t>
  </si>
  <si>
    <t>Evocalcet</t>
  </si>
  <si>
    <t>Rocaltrol</t>
  </si>
  <si>
    <t>Calcitriol</t>
  </si>
  <si>
    <t>Onglyza</t>
  </si>
  <si>
    <t>Saxagliptin</t>
  </si>
  <si>
    <t>Coniel</t>
  </si>
  <si>
    <t>Benidipine</t>
  </si>
  <si>
    <t>G-Lasta</t>
  </si>
  <si>
    <t>Fentos</t>
  </si>
  <si>
    <t>Fentanyl Transdermal</t>
  </si>
  <si>
    <t>Poteligeo</t>
  </si>
  <si>
    <t>Mogamulizumab</t>
  </si>
  <si>
    <t>Rituximab BS (KHK)</t>
  </si>
  <si>
    <t>Romiplate</t>
  </si>
  <si>
    <t>Allelock</t>
  </si>
  <si>
    <t>Olopatadine Hydrochloride</t>
  </si>
  <si>
    <t>Patanol</t>
  </si>
  <si>
    <t>Dovobet</t>
  </si>
  <si>
    <t>Calcipotriol Hydrate + Betamethasone Dipropionate</t>
  </si>
  <si>
    <t>Lumicef</t>
  </si>
  <si>
    <t>Brodalumab</t>
  </si>
  <si>
    <t>Nouriast</t>
  </si>
  <si>
    <t>Istradefylline</t>
  </si>
  <si>
    <t>Haruropi</t>
  </si>
  <si>
    <t>Ropinirole</t>
  </si>
  <si>
    <t>Depakene</t>
  </si>
  <si>
    <t>Sodium Valproate</t>
  </si>
  <si>
    <t>Crysvita</t>
  </si>
  <si>
    <t>burosumab-twza</t>
  </si>
  <si>
    <t>Nourianz</t>
  </si>
  <si>
    <t>Abstral</t>
  </si>
  <si>
    <t>Fentanyl Sublingual</t>
  </si>
  <si>
    <t>PecFent</t>
  </si>
  <si>
    <t>Fentanyl Intranasal Spray</t>
  </si>
  <si>
    <t>Moventig</t>
  </si>
  <si>
    <t>Naloxegol</t>
  </si>
  <si>
    <t>Adcal-D3</t>
  </si>
  <si>
    <t>Calcium Carbonate, Cholecalciferol</t>
  </si>
  <si>
    <t>Neulasta/Peglasta</t>
  </si>
  <si>
    <t>Gran</t>
  </si>
  <si>
    <t>Technology out-licensing</t>
  </si>
  <si>
    <t>Of which, Benralizumab royalty</t>
  </si>
  <si>
    <t>Lundbeck</t>
  </si>
  <si>
    <t>Brintellix/Trintellix</t>
  </si>
  <si>
    <t>Vortioxetine</t>
  </si>
  <si>
    <t xml:space="preserve">Northera </t>
  </si>
  <si>
    <t>Droxidopa</t>
  </si>
  <si>
    <t xml:space="preserve">Rexulti/Rxulti  </t>
  </si>
  <si>
    <t>Brexpiprazole</t>
  </si>
  <si>
    <t>Vyepti</t>
  </si>
  <si>
    <t>Eptinezumab- JJMR</t>
  </si>
  <si>
    <t>Revenue strategic brands</t>
  </si>
  <si>
    <t>Onfi</t>
  </si>
  <si>
    <t>Clobazam</t>
  </si>
  <si>
    <t>Sabril</t>
  </si>
  <si>
    <t>Vigabatrin</t>
  </si>
  <si>
    <t>Cipralex/Lexapro</t>
  </si>
  <si>
    <t>Escitalopram</t>
  </si>
  <si>
    <t>Other Pharmaceuticals</t>
  </si>
  <si>
    <t>Effects from hedging</t>
  </si>
  <si>
    <t>Mallinckrodt Plc</t>
  </si>
  <si>
    <t>Inomax</t>
  </si>
  <si>
    <t>Nitric Oxide</t>
  </si>
  <si>
    <t>Ofirmev</t>
  </si>
  <si>
    <t>Acetaminophen</t>
  </si>
  <si>
    <t>Therakos</t>
  </si>
  <si>
    <t>Methoxsalen</t>
  </si>
  <si>
    <t>Amitiza</t>
  </si>
  <si>
    <t>Lubiprostone</t>
  </si>
  <si>
    <t>Specialty Brands</t>
  </si>
  <si>
    <t>Hydrocodone (API) and Hydrocodone-containing tablets</t>
  </si>
  <si>
    <t>Hydrocodone Bitartrate</t>
  </si>
  <si>
    <t>Oxycodone (API) and Oxycodone-containing Tablets</t>
  </si>
  <si>
    <t>Oxycodone</t>
  </si>
  <si>
    <t>Acetaminophen (API)</t>
  </si>
  <si>
    <t>Other Controlled Substances</t>
  </si>
  <si>
    <t>Specialty Generics and Amitiza</t>
  </si>
  <si>
    <t>Merck</t>
  </si>
  <si>
    <t xml:space="preserve">Lenvima </t>
  </si>
  <si>
    <t>Emend</t>
  </si>
  <si>
    <t>Aprepitant</t>
  </si>
  <si>
    <t>Gardasil/Gardasil 9</t>
  </si>
  <si>
    <t>HPV Quadrivalent Vaccine</t>
  </si>
  <si>
    <t>ProQuad, M-M-R II and Varivax</t>
  </si>
  <si>
    <t>Measles, Mumps, Rubella and Varicella Virus Vaccine Live</t>
  </si>
  <si>
    <t>Pneumovax 23</t>
  </si>
  <si>
    <t>Pneumococcal Vaccine Polyvalent</t>
  </si>
  <si>
    <t>RotaTeq</t>
  </si>
  <si>
    <t>Rotavirus Vaccine</t>
  </si>
  <si>
    <t>Vaqta</t>
  </si>
  <si>
    <t>Hepatitis A Vaccine, Inactivated</t>
  </si>
  <si>
    <t>Bridion</t>
  </si>
  <si>
    <t>Sugammadex</t>
  </si>
  <si>
    <t>Noxafil</t>
  </si>
  <si>
    <t>Posaconazole</t>
  </si>
  <si>
    <t>Prevymis</t>
  </si>
  <si>
    <t>Letermovir</t>
  </si>
  <si>
    <t>Primaxin</t>
  </si>
  <si>
    <t>Imipenem and Cilastatin</t>
  </si>
  <si>
    <t>Cancidas</t>
  </si>
  <si>
    <t>Caspofungin</t>
  </si>
  <si>
    <t>Invanz</t>
  </si>
  <si>
    <t>Cubicin</t>
  </si>
  <si>
    <t>Daptomycin</t>
  </si>
  <si>
    <t>Zerbaxa</t>
  </si>
  <si>
    <t>Ceftolozane and Tazobactam</t>
  </si>
  <si>
    <t>Total Hospital Acute Care</t>
  </si>
  <si>
    <t>Simponi</t>
  </si>
  <si>
    <t>Remicade</t>
  </si>
  <si>
    <t>Infliximab</t>
  </si>
  <si>
    <t>Belsomra</t>
  </si>
  <si>
    <t>Suvorexant</t>
  </si>
  <si>
    <t>Isentress/ Isentress HD</t>
  </si>
  <si>
    <t>Raltegravir</t>
  </si>
  <si>
    <t>Zepatier</t>
  </si>
  <si>
    <t>Elbasvir and Grazoprevir</t>
  </si>
  <si>
    <t>Virology</t>
  </si>
  <si>
    <t>Zetia</t>
  </si>
  <si>
    <t>Vytorin</t>
  </si>
  <si>
    <t>Ezetimibe and Simvastatin</t>
  </si>
  <si>
    <t>Atozet</t>
  </si>
  <si>
    <t>Ezetimibe and Atorvastatin</t>
  </si>
  <si>
    <t>Total Cardiovascular</t>
  </si>
  <si>
    <t>Januvia</t>
  </si>
  <si>
    <t>Sitagliptin</t>
  </si>
  <si>
    <t>Janumet</t>
  </si>
  <si>
    <t>Metformin and Sitagliptin</t>
  </si>
  <si>
    <t>Total Diabetes</t>
  </si>
  <si>
    <t>Implanon/Nexplanon</t>
  </si>
  <si>
    <t>Etonogestrel</t>
  </si>
  <si>
    <t>NuvaRing</t>
  </si>
  <si>
    <t>Ethinyl Estradiol and Etonogestrel</t>
  </si>
  <si>
    <t>Singulair</t>
  </si>
  <si>
    <t>Montelukast Sodium</t>
  </si>
  <si>
    <t>Cozaar/Hyzaar</t>
  </si>
  <si>
    <t>Losartan and Hydrochlorothiazide</t>
  </si>
  <si>
    <t>Arcoxia</t>
  </si>
  <si>
    <t>Etoricoxib</t>
  </si>
  <si>
    <t>Nasonex</t>
  </si>
  <si>
    <t>Mometasone Furoate</t>
  </si>
  <si>
    <t>Follistim AQ</t>
  </si>
  <si>
    <t>Follicle Stimulating Hormone</t>
  </si>
  <si>
    <t>Diversified Brands</t>
  </si>
  <si>
    <t>Other Pharmaceutical</t>
  </si>
  <si>
    <t>Livestock</t>
  </si>
  <si>
    <t>Companion Animals</t>
  </si>
  <si>
    <t>Total Animal Health Segment Sales</t>
  </si>
  <si>
    <t xml:space="preserve">Other segment sales </t>
  </si>
  <si>
    <t>Total Segment Sales</t>
  </si>
  <si>
    <t xml:space="preserve">Other Revenues </t>
  </si>
  <si>
    <t>Mitsubishi Tanabe</t>
  </si>
  <si>
    <t xml:space="preserve">Immunology </t>
  </si>
  <si>
    <t>Canaglu</t>
  </si>
  <si>
    <t>Canagliflozin</t>
  </si>
  <si>
    <t>Teneligliptin / Canagliflozin</t>
  </si>
  <si>
    <t>Lexapro</t>
  </si>
  <si>
    <t>Escitalopram Oxalate</t>
  </si>
  <si>
    <t>Rupafin</t>
  </si>
  <si>
    <t>Rupatadine</t>
  </si>
  <si>
    <t>Imusera</t>
  </si>
  <si>
    <t>Fingolimod Hydrochloride</t>
  </si>
  <si>
    <t>Priority products</t>
  </si>
  <si>
    <t>Tetrabik</t>
  </si>
  <si>
    <t>Diphtheria-purified pertussis-tetanus-inactivated polio (Sabin strain)</t>
  </si>
  <si>
    <t>Mearubik</t>
  </si>
  <si>
    <t>Freeze-dried live attenuated measles vaccine</t>
  </si>
  <si>
    <t>JEBIK V</t>
  </si>
  <si>
    <t xml:space="preserve">Cell culture-derived Japanese encephalitis vaccine (Inactivated) </t>
  </si>
  <si>
    <t>Varicella vaccine</t>
  </si>
  <si>
    <t>Long-listed drugs</t>
  </si>
  <si>
    <t>Domestic ethical drugs</t>
  </si>
  <si>
    <t>Overseas Ethical Drugs</t>
  </si>
  <si>
    <t>Radicava</t>
  </si>
  <si>
    <t>Edaravone</t>
  </si>
  <si>
    <t xml:space="preserve">Royalty Revenue, etc. </t>
  </si>
  <si>
    <t>Royalty from Gilenya</t>
  </si>
  <si>
    <t>Fingolimod</t>
  </si>
  <si>
    <t>Royalty from Invokana</t>
  </si>
  <si>
    <t>Total Sales Revenues</t>
  </si>
  <si>
    <t>Mylan (9 months)</t>
  </si>
  <si>
    <t>Infectious Disease</t>
  </si>
  <si>
    <t>Respiratory and Allergy</t>
  </si>
  <si>
    <t>Cardiovascular</t>
  </si>
  <si>
    <t>Gastroenterology</t>
  </si>
  <si>
    <t>Diabetes and Metabolism</t>
  </si>
  <si>
    <t>Neurocrine</t>
  </si>
  <si>
    <t>Ongentys</t>
  </si>
  <si>
    <t>Opicapone</t>
  </si>
  <si>
    <t>Collaboration revenues</t>
  </si>
  <si>
    <t>Total revenues</t>
  </si>
  <si>
    <t>Novartis</t>
  </si>
  <si>
    <t>Promacta/Revolade</t>
  </si>
  <si>
    <t>Eltrombopag Olamine/Eltrombopag</t>
  </si>
  <si>
    <t>Tafinlar/Mekinist</t>
  </si>
  <si>
    <t>Dabrafenib/Trametinib</t>
  </si>
  <si>
    <t>Sandostatin</t>
  </si>
  <si>
    <t>Octreotide</t>
  </si>
  <si>
    <t>Jakavi</t>
  </si>
  <si>
    <t>Ruxolitinib</t>
  </si>
  <si>
    <t>Gleevec/Glivec</t>
  </si>
  <si>
    <t>Imatinib</t>
  </si>
  <si>
    <t>Afinitor/Votubia</t>
  </si>
  <si>
    <t>Everolimus</t>
  </si>
  <si>
    <t>Kisqali</t>
  </si>
  <si>
    <t>Ribociclib</t>
  </si>
  <si>
    <t>Exjade/Jadenu</t>
  </si>
  <si>
    <t>Deferasirox</t>
  </si>
  <si>
    <t>Votrient</t>
  </si>
  <si>
    <t>Pazopanib</t>
  </si>
  <si>
    <t>Kymriah</t>
  </si>
  <si>
    <t>Tisagenlecleucel</t>
  </si>
  <si>
    <t>Lutathera</t>
  </si>
  <si>
    <t>Lutetium Lu 177 dotatate</t>
  </si>
  <si>
    <t>Piqray</t>
  </si>
  <si>
    <t>Alpelisib</t>
  </si>
  <si>
    <t>Adakveo</t>
  </si>
  <si>
    <t>Crizanlizumab-tmca</t>
  </si>
  <si>
    <t>Tabrecta</t>
  </si>
  <si>
    <t>Capmatinib</t>
  </si>
  <si>
    <t>Cosentyx</t>
  </si>
  <si>
    <t>Secukinumab</t>
  </si>
  <si>
    <t>Ilaris</t>
  </si>
  <si>
    <t>Canakinumab</t>
  </si>
  <si>
    <t>Total Immunology, Hepatology and Dermatology</t>
  </si>
  <si>
    <t>Lucentis</t>
  </si>
  <si>
    <t>Ranibizumab</t>
  </si>
  <si>
    <t>Xiidra</t>
  </si>
  <si>
    <t>Lifitegrast</t>
  </si>
  <si>
    <t>Beovu</t>
  </si>
  <si>
    <t>Brolucizumab</t>
  </si>
  <si>
    <t>Total Ophthalmology</t>
  </si>
  <si>
    <t>Gilenya</t>
  </si>
  <si>
    <t>Zolgensma</t>
  </si>
  <si>
    <t>onasemnogene abeparvovec-xioi</t>
  </si>
  <si>
    <t>Mayzent</t>
  </si>
  <si>
    <t>Siponimod Fumaric Acid</t>
  </si>
  <si>
    <t>Kesimpta</t>
  </si>
  <si>
    <t>Ofatumumab</t>
  </si>
  <si>
    <t>Entresto</t>
  </si>
  <si>
    <t>Sacubitril and Valsartan</t>
  </si>
  <si>
    <t>Total Cardiovascular, Renal
&amp; Metabolism</t>
  </si>
  <si>
    <t>Xolair</t>
  </si>
  <si>
    <t>Omalizumab</t>
  </si>
  <si>
    <t>Ultibro Group</t>
  </si>
  <si>
    <t>Indacaterol and Glycopyrronium Bromide</t>
  </si>
  <si>
    <t>Galvus Group</t>
  </si>
  <si>
    <t>Vildagliptin</t>
  </si>
  <si>
    <t>Diovan Group</t>
  </si>
  <si>
    <t>Hydrochlorothiazide and Valsartan</t>
  </si>
  <si>
    <t>Exforge Group</t>
  </si>
  <si>
    <t>Amlodipine and Valsartan</t>
  </si>
  <si>
    <t>Zortress/Certican</t>
  </si>
  <si>
    <t>Neoral/Sandimmun(e)</t>
  </si>
  <si>
    <t>Dexmethylphenidate</t>
  </si>
  <si>
    <t>Voltaren/Cataflam</t>
  </si>
  <si>
    <t>Diclofenac</t>
  </si>
  <si>
    <t>Total Established Medicines</t>
  </si>
  <si>
    <t>Total Pharmaceutical
Business Unit</t>
  </si>
  <si>
    <t>Total Division Net Sales</t>
  </si>
  <si>
    <t>Net Sales by Sandoz</t>
  </si>
  <si>
    <t>Total Group Net Sales</t>
  </si>
  <si>
    <t>Novo Nordisk</t>
  </si>
  <si>
    <t>Tresiba</t>
  </si>
  <si>
    <t>Insulin Degludec</t>
  </si>
  <si>
    <t>Xultophy</t>
  </si>
  <si>
    <t>Insulin Degludec and Insulin Liraglutide</t>
  </si>
  <si>
    <t>Levemir</t>
  </si>
  <si>
    <t>Insulin Detemir</t>
  </si>
  <si>
    <t>Premix Insulin</t>
  </si>
  <si>
    <t>Ryzodeg</t>
  </si>
  <si>
    <t>Insulin Degludec and Insulin Aspart</t>
  </si>
  <si>
    <t>NovoMix</t>
  </si>
  <si>
    <t>Biphasic Insulin Aspart</t>
  </si>
  <si>
    <t>Fast-acting Insulin</t>
  </si>
  <si>
    <t>Fiasp</t>
  </si>
  <si>
    <t>Insulin Aspart</t>
  </si>
  <si>
    <t>NovoRapid</t>
  </si>
  <si>
    <t>Human Insulins</t>
  </si>
  <si>
    <t>Human Insulin</t>
  </si>
  <si>
    <t xml:space="preserve">Total Insulin </t>
  </si>
  <si>
    <t>Victoza</t>
  </si>
  <si>
    <t>Liraglutide</t>
  </si>
  <si>
    <t>Ozempic</t>
  </si>
  <si>
    <t>Semaglutide</t>
  </si>
  <si>
    <t>Rybelsus</t>
  </si>
  <si>
    <t>Total GLP-1</t>
  </si>
  <si>
    <t>Other Diabetes Care</t>
  </si>
  <si>
    <t>Saxenda</t>
  </si>
  <si>
    <t>Diabetes and Obesity total sales</t>
  </si>
  <si>
    <t>Haemophilia</t>
  </si>
  <si>
    <t>Recombinant Human Coagulation Factor VIIa</t>
  </si>
  <si>
    <t>NovoSeven</t>
  </si>
  <si>
    <t>Coagulation Factor VIIa [Recombinant]</t>
  </si>
  <si>
    <t>NovoEight</t>
  </si>
  <si>
    <t>Human Coagulation factor VIII</t>
  </si>
  <si>
    <t>Growth Disorders (Norditropin)</t>
  </si>
  <si>
    <t>Other Biopharmaceuticals</t>
  </si>
  <si>
    <t>Total Biopharmaceuticals</t>
  </si>
  <si>
    <t>Ono Pharma</t>
  </si>
  <si>
    <t>Glactiv</t>
  </si>
  <si>
    <t>Sitagliptin Phosphate Hydrate</t>
  </si>
  <si>
    <t>Forxiga</t>
  </si>
  <si>
    <t>Orencia SC</t>
  </si>
  <si>
    <t>Rivastach</t>
  </si>
  <si>
    <t>Rivastigmine</t>
  </si>
  <si>
    <t>Parsabiv</t>
  </si>
  <si>
    <t>Onoact</t>
  </si>
  <si>
    <t>Landiolol</t>
  </si>
  <si>
    <t>Opalmon</t>
  </si>
  <si>
    <t>Limaprost Alfadex</t>
  </si>
  <si>
    <t>Emend/Proemend</t>
  </si>
  <si>
    <t>Onon Capsules</t>
  </si>
  <si>
    <t>Pranlukast</t>
  </si>
  <si>
    <t>Recalbon</t>
  </si>
  <si>
    <t>Newly launched products during FY 2020</t>
  </si>
  <si>
    <t>Otsuka</t>
  </si>
  <si>
    <t>Rexulti/Rxulti</t>
  </si>
  <si>
    <t>Samsca</t>
  </si>
  <si>
    <t>Tolvaptan</t>
  </si>
  <si>
    <t>Jinarc/Jynarque</t>
  </si>
  <si>
    <t>Lonsurf</t>
  </si>
  <si>
    <t>Trifluridine and Tipiracil</t>
  </si>
  <si>
    <t>Global Products</t>
  </si>
  <si>
    <t>E Keppra</t>
  </si>
  <si>
    <t>Levetiracetam</t>
  </si>
  <si>
    <t>Neupro Patch</t>
  </si>
  <si>
    <t>Rotigotine</t>
  </si>
  <si>
    <t>Aloxi</t>
  </si>
  <si>
    <t>Palonosetron</t>
  </si>
  <si>
    <t>Anti-Emetic</t>
  </si>
  <si>
    <t>Mucosta Ophthalmic Suspension</t>
  </si>
  <si>
    <t>Rebamipide</t>
  </si>
  <si>
    <t>Bilanoa</t>
  </si>
  <si>
    <t>Bilastine</t>
  </si>
  <si>
    <t>Nuedexta</t>
  </si>
  <si>
    <t>Dextromethorphan and Quinidine</t>
  </si>
  <si>
    <t>Abilify</t>
  </si>
  <si>
    <t>Aripiprazole</t>
  </si>
  <si>
    <t>Pletaal/Pletal</t>
  </si>
  <si>
    <t>Cilostazol</t>
  </si>
  <si>
    <t>Mucosta</t>
  </si>
  <si>
    <t>TS-1</t>
  </si>
  <si>
    <t>Tegafur, Gimeracil, Oteracil Potassium</t>
  </si>
  <si>
    <t>Parenteral Nutrition</t>
  </si>
  <si>
    <t>Pharmaceuticals Business - total (excluding exports)</t>
  </si>
  <si>
    <t>Pharmaceuticals Business - total</t>
  </si>
  <si>
    <t>Total Nutraceuticals</t>
  </si>
  <si>
    <t>Total Consumer Products</t>
  </si>
  <si>
    <t>Other Business</t>
  </si>
  <si>
    <t>Corporate/Eliminations</t>
  </si>
  <si>
    <t>Pfizer Inc.</t>
  </si>
  <si>
    <t>Chantix/Champix</t>
  </si>
  <si>
    <t>Varenicline</t>
  </si>
  <si>
    <t>Premarin family</t>
  </si>
  <si>
    <t>Conjugated Estrogens</t>
  </si>
  <si>
    <t>BMP2</t>
  </si>
  <si>
    <t>Bone Morphogenetic Proteins</t>
  </si>
  <si>
    <t>Toviaz</t>
  </si>
  <si>
    <t>Fesoterodine Fumarate</t>
  </si>
  <si>
    <t>All Other Internal Medicine</t>
  </si>
  <si>
    <t>Internal Medicine</t>
  </si>
  <si>
    <t>Ibrance</t>
  </si>
  <si>
    <t>Palbociclib</t>
  </si>
  <si>
    <t>Xtandi</t>
  </si>
  <si>
    <t>Enzalutamide</t>
  </si>
  <si>
    <t>Sutent</t>
  </si>
  <si>
    <t>Sunitinib Malate</t>
  </si>
  <si>
    <t>Inlyta</t>
  </si>
  <si>
    <t>Axitinib</t>
  </si>
  <si>
    <t>Xalkori</t>
  </si>
  <si>
    <t>Crizotinib</t>
  </si>
  <si>
    <t>Bosulif</t>
  </si>
  <si>
    <t>Bosutinib</t>
  </si>
  <si>
    <t>Retacrit</t>
  </si>
  <si>
    <t>Epotin alfa-epbx</t>
  </si>
  <si>
    <t>Lorbrena</t>
  </si>
  <si>
    <t>Lorlatinib</t>
  </si>
  <si>
    <t>Ruxience</t>
  </si>
  <si>
    <t>Rituximab-pvvr</t>
  </si>
  <si>
    <t>Braftovi</t>
  </si>
  <si>
    <t>Encorafenib</t>
  </si>
  <si>
    <t>Zirabev</t>
  </si>
  <si>
    <t>Bevacizumab-bvzr</t>
  </si>
  <si>
    <t>Mektovi</t>
  </si>
  <si>
    <t>Binimetinib</t>
  </si>
  <si>
    <t>All Other Oncology</t>
  </si>
  <si>
    <t>Sulperazon</t>
  </si>
  <si>
    <t>Cefoperazone and Sulbactam</t>
  </si>
  <si>
    <t>Medrol</t>
  </si>
  <si>
    <t>Methylprednisolone</t>
  </si>
  <si>
    <t>EpiPen</t>
  </si>
  <si>
    <t>Epinephrine</t>
  </si>
  <si>
    <t>Zithromax/Zmax</t>
  </si>
  <si>
    <t>Azithromycin</t>
  </si>
  <si>
    <t>Vfend</t>
  </si>
  <si>
    <t>Voriconazole</t>
  </si>
  <si>
    <t>Panzyga</t>
  </si>
  <si>
    <t>Immune globulin intravenous, human - ifas</t>
  </si>
  <si>
    <t>Precedex</t>
  </si>
  <si>
    <t>Dexmedetomidine</t>
  </si>
  <si>
    <t>Fragmin</t>
  </si>
  <si>
    <t>Dalteparin</t>
  </si>
  <si>
    <t>Zyvox</t>
  </si>
  <si>
    <t>Linezolid</t>
  </si>
  <si>
    <t>Zavicefta</t>
  </si>
  <si>
    <t>Ceftazidime and Avibactam</t>
  </si>
  <si>
    <t>Pfizer CentreOne</t>
  </si>
  <si>
    <t>All Other Anti-infectives</t>
  </si>
  <si>
    <t>All Other Hospital</t>
  </si>
  <si>
    <t>Hospital</t>
  </si>
  <si>
    <t>Prevnar 13/Prevenar 13</t>
  </si>
  <si>
    <t>Pneumococcal 7-Valent Conjugate</t>
  </si>
  <si>
    <t>Nimenrix</t>
  </si>
  <si>
    <t>Meningococcal polysaccharide groups A, C, W-135 and Y conjugate vaccine</t>
  </si>
  <si>
    <t>FSME/ IMMUN-TicoVac</t>
  </si>
  <si>
    <t>Tick-Borne Encephalitis Virus</t>
  </si>
  <si>
    <t>BNT162b2</t>
  </si>
  <si>
    <t>Nucleoside-modified RNA</t>
  </si>
  <si>
    <t>All Other Vaccines</t>
  </si>
  <si>
    <t>Xeljanz</t>
  </si>
  <si>
    <t>Tofacitinib Citrate</t>
  </si>
  <si>
    <t>Inflectra/Remsima</t>
  </si>
  <si>
    <t>All Other I&amp;I</t>
  </si>
  <si>
    <t>Inflammation &amp; Immunology</t>
  </si>
  <si>
    <t>Vyndaqel/Vyndamax</t>
  </si>
  <si>
    <t>Tafamidis/ Tafamidis Meglumine</t>
  </si>
  <si>
    <t>BeneFIX</t>
  </si>
  <si>
    <t>Coagulation Factor IX</t>
  </si>
  <si>
    <t>Genotropin</t>
  </si>
  <si>
    <t>Somatropin</t>
  </si>
  <si>
    <t>Refacto AF/Xyntha</t>
  </si>
  <si>
    <t>Somavert</t>
  </si>
  <si>
    <t>Pegvisomant</t>
  </si>
  <si>
    <t>All Other Rare Diseases</t>
  </si>
  <si>
    <t>Total Rare Diseases</t>
  </si>
  <si>
    <t>Consumer Healthcare Business</t>
  </si>
  <si>
    <t>Total Alliance Revenues</t>
  </si>
  <si>
    <t>Biosimilars</t>
  </si>
  <si>
    <t>Total Sterile Injectable Pharmaceuticals</t>
  </si>
  <si>
    <t>Pfizer Biopharmaceuticals Group (Biopharma)</t>
  </si>
  <si>
    <t>Regeneron</t>
  </si>
  <si>
    <t>Dupixent</t>
  </si>
  <si>
    <t>Dupilumab</t>
  </si>
  <si>
    <t>Libtayo</t>
  </si>
  <si>
    <t>Cemiplimab-rwlc</t>
  </si>
  <si>
    <t>Praluent</t>
  </si>
  <si>
    <t>Alirocumab</t>
  </si>
  <si>
    <t xml:space="preserve">Cardiovascular Diseases
</t>
  </si>
  <si>
    <t>Kevzara</t>
  </si>
  <si>
    <t>Sarilumab</t>
  </si>
  <si>
    <t xml:space="preserve">Infectious Diseases
</t>
  </si>
  <si>
    <t>REGEN-COV</t>
  </si>
  <si>
    <t>Casirivimab, Imdevimab</t>
  </si>
  <si>
    <t>Zaltrap</t>
  </si>
  <si>
    <t>Arcalyst</t>
  </si>
  <si>
    <t>Rilonacept</t>
  </si>
  <si>
    <t>Net product sales recorded by
Regeneron</t>
  </si>
  <si>
    <t>Sanofi collaboration revenue</t>
  </si>
  <si>
    <t>Bayer collaboration revenue</t>
  </si>
  <si>
    <t>Roche</t>
  </si>
  <si>
    <t>CHF</t>
  </si>
  <si>
    <t>Perjeta</t>
  </si>
  <si>
    <t>Pertuzumab</t>
  </si>
  <si>
    <t>Herceptin</t>
  </si>
  <si>
    <t>MabThera/Rituxan</t>
  </si>
  <si>
    <t>Tecentriq</t>
  </si>
  <si>
    <t>Atezolizumab</t>
  </si>
  <si>
    <t>Kadcyla</t>
  </si>
  <si>
    <t>Trastuzumab Emtansine</t>
  </si>
  <si>
    <t>Alecensa</t>
  </si>
  <si>
    <t>Alectinib</t>
  </si>
  <si>
    <t>Gazyva/Gazyvaro</t>
  </si>
  <si>
    <t>Obinutuzumab</t>
  </si>
  <si>
    <t>Xeloda</t>
  </si>
  <si>
    <t>Capecitabine</t>
  </si>
  <si>
    <t>Polivy</t>
  </si>
  <si>
    <t>Polatuzumab Vedotin</t>
  </si>
  <si>
    <t>Actemra/RoActemra</t>
  </si>
  <si>
    <t>Tocilizumab</t>
  </si>
  <si>
    <t>Esbriet</t>
  </si>
  <si>
    <t>Pirfenidone</t>
  </si>
  <si>
    <t>Pulmozyme</t>
  </si>
  <si>
    <t>Dornase Alfa</t>
  </si>
  <si>
    <t>CellCept</t>
  </si>
  <si>
    <t>Mycophenolate Mofetil</t>
  </si>
  <si>
    <t>Ocrevus</t>
  </si>
  <si>
    <t>Madopar</t>
  </si>
  <si>
    <t>Levodopa and Benserazide</t>
  </si>
  <si>
    <t>Hemlibra</t>
  </si>
  <si>
    <t>Emicizumab</t>
  </si>
  <si>
    <t>Total Haemophilia A</t>
  </si>
  <si>
    <t>Total Opthalmology</t>
  </si>
  <si>
    <t>Tamiflu</t>
  </si>
  <si>
    <t>Oseltamivir Phosphate</t>
  </si>
  <si>
    <t>Rocephin</t>
  </si>
  <si>
    <t>Ceftriaxone</t>
  </si>
  <si>
    <t>Activase/TNKase</t>
  </si>
  <si>
    <t>Alteplase/Tenecteplase</t>
  </si>
  <si>
    <t>Mircera</t>
  </si>
  <si>
    <t>Methoxy Polyethylene Glycol and Epoetin Beta</t>
  </si>
  <si>
    <t>NeoRecormon/Epogin</t>
  </si>
  <si>
    <t>Epoetin Beta and Epoetin Alfa</t>
  </si>
  <si>
    <t>Total Other Therapeutic Areas</t>
  </si>
  <si>
    <t>Total Pharmaceutical Sales</t>
  </si>
  <si>
    <t>Diagnostic Division</t>
  </si>
  <si>
    <t>Sanofi</t>
  </si>
  <si>
    <t>Aubagio</t>
  </si>
  <si>
    <t>Teriflunomide</t>
  </si>
  <si>
    <t>Lemtrada</t>
  </si>
  <si>
    <t>Alemtuzumab</t>
  </si>
  <si>
    <t xml:space="preserve">MS/Neurology/Other I&amp;I </t>
  </si>
  <si>
    <t>Cerezyme</t>
  </si>
  <si>
    <t>Imiglucerase</t>
  </si>
  <si>
    <t>Cerdelga</t>
  </si>
  <si>
    <t>Eliglustat</t>
  </si>
  <si>
    <t>Myozyme</t>
  </si>
  <si>
    <t>Alglucosidase Alfa</t>
  </si>
  <si>
    <t>Fabrazyme</t>
  </si>
  <si>
    <t>Agalsidase Beta</t>
  </si>
  <si>
    <t>Aldurazyme</t>
  </si>
  <si>
    <t>Rare Disease</t>
  </si>
  <si>
    <t>Jevtana</t>
  </si>
  <si>
    <t>Cabazitaxel</t>
  </si>
  <si>
    <t>Fasturtec</t>
  </si>
  <si>
    <t>Rasburicase</t>
  </si>
  <si>
    <t>Sarclisa</t>
  </si>
  <si>
    <t>Isatuximab</t>
  </si>
  <si>
    <t>Alprolix</t>
  </si>
  <si>
    <t>Coagulation Factor IX (Recombinant), Fc Fusion Protein</t>
  </si>
  <si>
    <t>Eloctate</t>
  </si>
  <si>
    <t>Antihemophilic Factor (Recombinant), Fc Fusion Protein</t>
  </si>
  <si>
    <t>Cablivi</t>
  </si>
  <si>
    <t>Caplacizumab-yhdp</t>
  </si>
  <si>
    <t>Total Rare Blood Disorders</t>
  </si>
  <si>
    <t>Lantus</t>
  </si>
  <si>
    <t>Insulin Glargine</t>
  </si>
  <si>
    <t>Toujeo</t>
  </si>
  <si>
    <t>Apidra</t>
  </si>
  <si>
    <t>Insulin Glulisine</t>
  </si>
  <si>
    <t>Soliqua/iGlarLixi</t>
  </si>
  <si>
    <t>Plavix</t>
  </si>
  <si>
    <t>Clopidogrel Bisulfate</t>
  </si>
  <si>
    <t>Lovenox</t>
  </si>
  <si>
    <t>Enoxaparin Sodium</t>
  </si>
  <si>
    <t>Renagel/Renvela</t>
  </si>
  <si>
    <t>Sevelamer Hydrochloride and Sevelamer Carbonate</t>
  </si>
  <si>
    <t>Aprovel</t>
  </si>
  <si>
    <t>Irbesartan/Irbesartan + Hydrochlorothiazide</t>
  </si>
  <si>
    <t>Synvisc/Synvisc One</t>
  </si>
  <si>
    <t>Hylan G-F 20</t>
  </si>
  <si>
    <t>Mozobil</t>
  </si>
  <si>
    <t>Plerixafor</t>
  </si>
  <si>
    <t>Thymoglobulin</t>
  </si>
  <si>
    <t>Anti-thymocyte Globulin</t>
  </si>
  <si>
    <t>Taxotere</t>
  </si>
  <si>
    <t>Docetaxel</t>
  </si>
  <si>
    <t>Eloxatine</t>
  </si>
  <si>
    <t>Oxaliplatin</t>
  </si>
  <si>
    <t>Multaq</t>
  </si>
  <si>
    <t>Dronedarone</t>
  </si>
  <si>
    <t>Generics</t>
  </si>
  <si>
    <t>Cardiovascular &amp; Established Rx
Products</t>
  </si>
  <si>
    <t>Polio/Pertussis/Hib</t>
  </si>
  <si>
    <t>Adult Booster Vaccines</t>
  </si>
  <si>
    <t>Meningitis/Pneumonia</t>
  </si>
  <si>
    <t>Influenza Vaccines</t>
  </si>
  <si>
    <t>Travel And Other Endemics Vaccines</t>
  </si>
  <si>
    <t xml:space="preserve">Vaccines </t>
  </si>
  <si>
    <t>Allegra</t>
  </si>
  <si>
    <t>Fexofenadine Hydrochoride</t>
  </si>
  <si>
    <t>Mucosolvan</t>
  </si>
  <si>
    <t>Ambroxol Hydrochloride</t>
  </si>
  <si>
    <t>Xyzal</t>
  </si>
  <si>
    <t>Levocetirizine</t>
  </si>
  <si>
    <t xml:space="preserve">Allergy, Cough &amp; Cold </t>
  </si>
  <si>
    <t>Doliprane</t>
  </si>
  <si>
    <t>Buscopan</t>
  </si>
  <si>
    <t>Hyoscine Butylbromide</t>
  </si>
  <si>
    <t>Pain</t>
  </si>
  <si>
    <t>Dulcolax</t>
  </si>
  <si>
    <t>Bisacodyl</t>
  </si>
  <si>
    <t>Enterogermina</t>
  </si>
  <si>
    <t>Bacillus Clausii</t>
  </si>
  <si>
    <t>Essentiale</t>
  </si>
  <si>
    <t>Essential Phospholipid</t>
  </si>
  <si>
    <t>Zantac</t>
  </si>
  <si>
    <t>Ranitidine Hydrochloride</t>
  </si>
  <si>
    <t>Digestive</t>
  </si>
  <si>
    <t>Gold Bond</t>
  </si>
  <si>
    <t xml:space="preserve">Other products </t>
  </si>
  <si>
    <t>Total Consumer Healthcare</t>
  </si>
  <si>
    <t>Total Company</t>
  </si>
  <si>
    <t>Shionogi &amp; Co. Ltd</t>
  </si>
  <si>
    <t>Intuniv</t>
  </si>
  <si>
    <t>Guanfacine</t>
  </si>
  <si>
    <t>Vyvanse</t>
  </si>
  <si>
    <t>Lisdexamfetamine Dimesylate</t>
  </si>
  <si>
    <t>New Launch in Japan</t>
  </si>
  <si>
    <t>Infectious Disease Drugs</t>
  </si>
  <si>
    <t>Oxycontin Franchise</t>
  </si>
  <si>
    <t>Symproic</t>
  </si>
  <si>
    <t>Naldemedine</t>
  </si>
  <si>
    <t>Actair</t>
  </si>
  <si>
    <t>American house dust mite extract + European house dust mite extract</t>
  </si>
  <si>
    <t>Mulpleta</t>
  </si>
  <si>
    <t>Lusutrombopag</t>
  </si>
  <si>
    <t>Pirespa</t>
  </si>
  <si>
    <t>Irbetan Franchise</t>
  </si>
  <si>
    <t>Irbesartan</t>
  </si>
  <si>
    <t>Overseas Subsidiaries/Export</t>
  </si>
  <si>
    <t>Shionogi Inc.</t>
  </si>
  <si>
    <t>C&amp;O</t>
  </si>
  <si>
    <t>Contract Manufacturing</t>
  </si>
  <si>
    <t>OTC And Quasi-Drugs</t>
  </si>
  <si>
    <t>Royalty Income</t>
  </si>
  <si>
    <t>HIV Franchise</t>
  </si>
  <si>
    <t>Swedish Orphan Biovitrum AB</t>
  </si>
  <si>
    <t>SEK</t>
  </si>
  <si>
    <t>Royalty</t>
  </si>
  <si>
    <t>Doptelet</t>
  </si>
  <si>
    <t>Avatrombopag</t>
  </si>
  <si>
    <t>Manufacturing  revenue</t>
  </si>
  <si>
    <t>Haematology</t>
  </si>
  <si>
    <t>Kineret</t>
  </si>
  <si>
    <t>Anakinra</t>
  </si>
  <si>
    <t>Gamifant</t>
  </si>
  <si>
    <t>Emapalumab</t>
  </si>
  <si>
    <t>Specialty Care</t>
  </si>
  <si>
    <t>Takeda</t>
  </si>
  <si>
    <t>Dexilant</t>
  </si>
  <si>
    <t>Dexlansoprazole</t>
  </si>
  <si>
    <t>Pantoprazole</t>
  </si>
  <si>
    <t>Takecab</t>
  </si>
  <si>
    <t>Vonoprazan Fumarate</t>
  </si>
  <si>
    <t>Gattex/Revestive</t>
  </si>
  <si>
    <t>Teduglutide</t>
  </si>
  <si>
    <t>Pentasa</t>
  </si>
  <si>
    <t>Mesalamine</t>
  </si>
  <si>
    <t>Lialda/Mezavant</t>
  </si>
  <si>
    <t>Resolor/Motegrity</t>
  </si>
  <si>
    <t>Prucalopride</t>
  </si>
  <si>
    <t xml:space="preserve">Elaprase     </t>
  </si>
  <si>
    <t>Idursulfase</t>
  </si>
  <si>
    <t xml:space="preserve">Replagal </t>
  </si>
  <si>
    <t>Vpriv</t>
  </si>
  <si>
    <t>Velaglucerase alfa</t>
  </si>
  <si>
    <t>Natpara</t>
  </si>
  <si>
    <t>Parathyroid hormone</t>
  </si>
  <si>
    <t>Rare Metabolic</t>
  </si>
  <si>
    <t>Advate</t>
  </si>
  <si>
    <t>Adynovate</t>
  </si>
  <si>
    <t>Antihemophilic Factor (Recombinant), PEGylated</t>
  </si>
  <si>
    <t>FEIBA</t>
  </si>
  <si>
    <t>Anti-Inhibitor Coagulant Complex</t>
  </si>
  <si>
    <t>Hemofil/Immunate/ Immunine</t>
  </si>
  <si>
    <t>Antihemophilic Factor (Human), Method M, Monoclonal Purified</t>
  </si>
  <si>
    <t>Other PDT Products</t>
  </si>
  <si>
    <t>Rare Hematology</t>
  </si>
  <si>
    <t>Firazyr</t>
  </si>
  <si>
    <t>Icatibant</t>
  </si>
  <si>
    <t>Takhzyro</t>
  </si>
  <si>
    <t>Lanadelumab-flyo</t>
  </si>
  <si>
    <t>Kalbitor</t>
  </si>
  <si>
    <t>Ecallantide</t>
  </si>
  <si>
    <t>Cinryze</t>
  </si>
  <si>
    <t>C1 Esterase Inhibitor [Human]</t>
  </si>
  <si>
    <t>Hereditary Angioedema</t>
  </si>
  <si>
    <t>Immunoglobulin</t>
  </si>
  <si>
    <t>Albumin</t>
  </si>
  <si>
    <t>PDT Immunology</t>
  </si>
  <si>
    <t xml:space="preserve">Velcade </t>
  </si>
  <si>
    <t>Ninlaro</t>
  </si>
  <si>
    <t>Ixazomib</t>
  </si>
  <si>
    <t>Adcetris</t>
  </si>
  <si>
    <t>Brentuximab Vedotin</t>
  </si>
  <si>
    <t>Iclusig</t>
  </si>
  <si>
    <t>Ponatinib</t>
  </si>
  <si>
    <t>Alunbrig</t>
  </si>
  <si>
    <t>Brigatinib</t>
  </si>
  <si>
    <t>Lisdexamfetamine</t>
  </si>
  <si>
    <t>Trintellix/Brintellix</t>
  </si>
  <si>
    <t>Adderall XR</t>
  </si>
  <si>
    <t>Amphetamine, Dextroamphetamine Sulfate,
Dextroamphetamine Saccharate, Amphetamine Aspartate
Monohydrate, Amphetamine Sulfate</t>
  </si>
  <si>
    <t>Rozerem</t>
  </si>
  <si>
    <t>Ramelteon</t>
  </si>
  <si>
    <t>Reminyl</t>
  </si>
  <si>
    <t>Galantamine</t>
  </si>
  <si>
    <t>Azilva</t>
  </si>
  <si>
    <t>Azilsartan</t>
  </si>
  <si>
    <t>Nesina</t>
  </si>
  <si>
    <t>Alogliptin</t>
  </si>
  <si>
    <t>Uloric</t>
  </si>
  <si>
    <t>Colcrys</t>
  </si>
  <si>
    <t>Colchicine</t>
  </si>
  <si>
    <t>Lotriga</t>
  </si>
  <si>
    <t>Omega-3-acid Ethyl Esters</t>
  </si>
  <si>
    <t>Teva</t>
  </si>
  <si>
    <t>Ajovy</t>
  </si>
  <si>
    <t>Fremanezumab</t>
  </si>
  <si>
    <t>Austedo</t>
  </si>
  <si>
    <t>Deutetrabenazine</t>
  </si>
  <si>
    <t>Bendeka and Trenda</t>
  </si>
  <si>
    <t>Bendamustine Hydrochloride</t>
  </si>
  <si>
    <t>Copaxone</t>
  </si>
  <si>
    <t>Glatiramer acetate</t>
  </si>
  <si>
    <t>ProAir</t>
  </si>
  <si>
    <t>Albuterol sulfate</t>
  </si>
  <si>
    <t>Qvar</t>
  </si>
  <si>
    <t>Beclometasone dipropionate</t>
  </si>
  <si>
    <t>ANDA</t>
  </si>
  <si>
    <t>Respiratory products</t>
  </si>
  <si>
    <t>UCB</t>
  </si>
  <si>
    <t>Keppra</t>
  </si>
  <si>
    <t>Briviact</t>
  </si>
  <si>
    <t>Brivaracetam</t>
  </si>
  <si>
    <t>Neupro</t>
  </si>
  <si>
    <t>Nayzilam</t>
  </si>
  <si>
    <t>Midazolam</t>
  </si>
  <si>
    <t>Romosozumab</t>
  </si>
  <si>
    <t>Zyrtec</t>
  </si>
  <si>
    <t>Cetirizine HCl</t>
  </si>
  <si>
    <t>Net Sales Before Hedging</t>
  </si>
  <si>
    <t>Designated Hedges Reclassified to Net Sales</t>
  </si>
  <si>
    <t>Total Net Sales</t>
  </si>
  <si>
    <t>Royalty Income and Fees</t>
  </si>
  <si>
    <t>Ultragenyx Pharm Inc</t>
  </si>
  <si>
    <t xml:space="preserve">Mepsevii </t>
  </si>
  <si>
    <t>Vestronidase alfa</t>
  </si>
  <si>
    <t>UX007</t>
  </si>
  <si>
    <t>Triheptanoin</t>
  </si>
  <si>
    <t>Total product sales</t>
  </si>
  <si>
    <t>Crysvita collaboration revenue in profit-share territory</t>
  </si>
  <si>
    <t>Crysvita royalty revenue in European territory</t>
  </si>
  <si>
    <t>Collaboration and license agreement with Daiichi Sankyo was executed in March 2020</t>
  </si>
  <si>
    <t>Total collaboration and license revenue</t>
  </si>
  <si>
    <t>Crysvita non-cash collaboration royalty revenue</t>
  </si>
  <si>
    <t>United Therapeutics</t>
  </si>
  <si>
    <t>Tyvaso</t>
  </si>
  <si>
    <t>Treprostinil</t>
  </si>
  <si>
    <t>Orenitram</t>
  </si>
  <si>
    <t>Treprostinil Diolamine</t>
  </si>
  <si>
    <t>Unituxin</t>
  </si>
  <si>
    <t>Dinutuximab</t>
  </si>
  <si>
    <t>Adcirca</t>
  </si>
  <si>
    <t>Vertex</t>
  </si>
  <si>
    <t>Orkambi</t>
  </si>
  <si>
    <t>Lumacaftor, Ivacaftor</t>
  </si>
  <si>
    <t xml:space="preserve">Symdeko </t>
  </si>
  <si>
    <t>Tezacaftor, Ivacaftor</t>
  </si>
  <si>
    <t>Trikafta</t>
  </si>
  <si>
    <t>Elexacaftor, Tezacaftor and Ivacaftor</t>
  </si>
  <si>
    <t>Collaborative and Royalty Revenues</t>
  </si>
  <si>
    <t>Viatris</t>
  </si>
  <si>
    <t>Developed Markets</t>
  </si>
  <si>
    <t xml:space="preserve">Greater China </t>
  </si>
  <si>
    <t>JANZ</t>
  </si>
  <si>
    <t>Emerging Markets</t>
  </si>
  <si>
    <t>Total net sales</t>
  </si>
  <si>
    <t>Other revenues</t>
  </si>
  <si>
    <t>Consolidated total revenues</t>
  </si>
  <si>
    <t>Upjohn (9 months)</t>
  </si>
  <si>
    <t>Norvasc</t>
  </si>
  <si>
    <t>Celebrex</t>
  </si>
  <si>
    <t>Viagra</t>
  </si>
  <si>
    <t>Sildenafil Citrate</t>
  </si>
  <si>
    <t>Effexor</t>
  </si>
  <si>
    <t>Venlafaxine</t>
  </si>
  <si>
    <t>Zoloft</t>
  </si>
  <si>
    <t>Sertraline</t>
  </si>
  <si>
    <t>Epipen (a)</t>
  </si>
  <si>
    <t>Xalatan/Xalacom</t>
  </si>
  <si>
    <t>Latanoprost</t>
  </si>
  <si>
    <t>Xanax/Xanax XR</t>
  </si>
  <si>
    <t>Alprazolam</t>
  </si>
  <si>
    <t>All Other Upjohn</t>
  </si>
  <si>
    <t>Fresenius Kabi</t>
  </si>
  <si>
    <t>Keytruda</t>
  </si>
  <si>
    <t>Revlimid</t>
  </si>
  <si>
    <t>Biktarvy</t>
  </si>
  <si>
    <r>
      <rPr>
        <b/>
        <sz val="12"/>
        <color rgb="FFFDB42B"/>
        <rFont val="Calibri"/>
        <family val="2"/>
      </rPr>
      <t xml:space="preserve"> Abbott</t>
    </r>
    <r>
      <rPr>
        <b/>
        <sz val="12"/>
        <color rgb="FFFFFFFF"/>
        <rFont val="Calibri"/>
        <family val="2"/>
      </rPr>
      <t xml:space="preserve">   </t>
    </r>
    <r>
      <rPr>
        <b/>
        <sz val="12"/>
        <color rgb="FFFFFFFF"/>
        <rFont val="Calibri"/>
        <family val="2"/>
      </rPr>
      <t xml:space="preserve">                                                          (Sales in Millions of USD)</t>
    </r>
  </si>
  <si>
    <t>United States</t>
  </si>
  <si>
    <t>International</t>
  </si>
  <si>
    <t xml:space="preserve"> Total (2020)</t>
  </si>
  <si>
    <t xml:space="preserve"> Total (2019)</t>
  </si>
  <si>
    <t>Sales Difference</t>
  </si>
  <si>
    <t>Growth (%)</t>
  </si>
  <si>
    <t>Key Emerging Markets</t>
  </si>
  <si>
    <r>
      <rPr>
        <b/>
        <sz val="12"/>
        <color rgb="FFFDB42B"/>
        <rFont val="Calibri"/>
        <family val="2"/>
      </rPr>
      <t xml:space="preserve"> Abbvie    </t>
    </r>
    <r>
      <rPr>
        <b/>
        <sz val="12"/>
        <color rgb="FFFFFFFF"/>
        <rFont val="Calibri"/>
        <family val="2"/>
      </rPr>
      <t xml:space="preserve">                                (Sales in Millions of USD)</t>
    </r>
  </si>
  <si>
    <t>Rest of the World</t>
  </si>
  <si>
    <t>Total (2020)</t>
  </si>
  <si>
    <t>Total (2019)</t>
  </si>
  <si>
    <t>(a) Net revenues include Allergan product revenues from the date of the acquisition, May 8, 2020, through December 31, 2020.</t>
  </si>
  <si>
    <r>
      <rPr>
        <b/>
        <sz val="12"/>
        <color rgb="FFFDB42B"/>
        <rFont val="Calibri"/>
        <family val="2"/>
      </rPr>
      <t xml:space="preserve"> Alcon    </t>
    </r>
    <r>
      <rPr>
        <b/>
        <sz val="12"/>
        <color rgb="FFFFFFFF"/>
        <rFont val="Calibri"/>
        <family val="2"/>
      </rPr>
      <t xml:space="preserve">                          (Sales in Millions of USD)</t>
    </r>
  </si>
  <si>
    <t>Implantables</t>
  </si>
  <si>
    <r>
      <rPr>
        <b/>
        <sz val="12"/>
        <color rgb="FFFDB42B"/>
        <rFont val="Calibri"/>
        <family val="2"/>
      </rPr>
      <t xml:space="preserve"> Alexion </t>
    </r>
    <r>
      <rPr>
        <b/>
        <sz val="12"/>
        <color theme="0"/>
        <rFont val="Calibri"/>
        <family val="2"/>
      </rPr>
      <t xml:space="preserve">                                                      (Sales in Millions of USD)</t>
    </r>
  </si>
  <si>
    <t xml:space="preserve">Soliris </t>
  </si>
  <si>
    <t>Eculizumab</t>
  </si>
  <si>
    <r>
      <rPr>
        <b/>
        <sz val="13"/>
        <color rgb="FFFDB42B"/>
        <rFont val="Calibri"/>
        <family val="2"/>
      </rPr>
      <t xml:space="preserve"> Alnylam Pharma</t>
    </r>
    <r>
      <rPr>
        <b/>
        <sz val="11"/>
        <color rgb="FFFFFFFF"/>
        <rFont val="Calibri"/>
        <family val="2"/>
      </rPr>
      <t xml:space="preserve">                                         (Sales in Millions of USD)</t>
    </r>
  </si>
  <si>
    <t>Europe</t>
  </si>
  <si>
    <t>Onpattro</t>
  </si>
  <si>
    <t>Patisiran</t>
  </si>
  <si>
    <r>
      <rPr>
        <b/>
        <sz val="12"/>
        <color rgb="FFFDB42B"/>
        <rFont val="Calibri"/>
        <family val="2"/>
      </rPr>
      <t xml:space="preserve"> Amgen</t>
    </r>
    <r>
      <rPr>
        <b/>
        <sz val="12"/>
        <color rgb="FFFFFFFF"/>
        <rFont val="Calibri"/>
        <family val="2"/>
      </rPr>
      <t xml:space="preserve">                                           (Sales in Millions of USD)</t>
    </r>
  </si>
  <si>
    <t>Prolia</t>
  </si>
  <si>
    <r>
      <rPr>
        <b/>
        <sz val="13"/>
        <color rgb="FFFDB42B"/>
        <rFont val="Calibri"/>
        <family val="2"/>
      </rPr>
      <t xml:space="preserve"> Astellas Pharma</t>
    </r>
    <r>
      <rPr>
        <b/>
        <sz val="11"/>
        <color theme="0"/>
        <rFont val="Calibri"/>
        <family val="2"/>
      </rPr>
      <t xml:space="preserve">                               (Sales in Billions of Yen)</t>
    </r>
  </si>
  <si>
    <t>Growth %</t>
  </si>
  <si>
    <r>
      <rPr>
        <b/>
        <sz val="12"/>
        <color rgb="FFFDB42B"/>
        <rFont val="Calibri"/>
        <family val="2"/>
      </rPr>
      <t xml:space="preserve"> AstraZeneca</t>
    </r>
    <r>
      <rPr>
        <b/>
        <sz val="12"/>
        <color theme="0"/>
        <rFont val="Calibri"/>
        <family val="2"/>
      </rPr>
      <t xml:space="preserve">                            (Sales in Millions of USD)</t>
    </r>
  </si>
  <si>
    <t xml:space="preserve"> Europe</t>
  </si>
  <si>
    <t>Rest of World</t>
  </si>
  <si>
    <t>Tagrisso</t>
  </si>
  <si>
    <t>Osimertinib</t>
  </si>
  <si>
    <r>
      <rPr>
        <b/>
        <sz val="12"/>
        <color rgb="FFFDB42B"/>
        <rFont val="Calibri"/>
        <family val="2"/>
      </rPr>
      <t xml:space="preserve"> Bausch Health </t>
    </r>
    <r>
      <rPr>
        <b/>
        <sz val="12"/>
        <color theme="0"/>
        <rFont val="Calibri"/>
        <family val="2"/>
      </rPr>
      <t xml:space="preserve">                                       (Sales in Millions of USD)</t>
    </r>
  </si>
  <si>
    <t>Ocuvite + PreserVision</t>
  </si>
  <si>
    <r>
      <rPr>
        <b/>
        <sz val="12"/>
        <color rgb="FFFDB42B"/>
        <rFont val="Calibri"/>
        <family val="2"/>
      </rPr>
      <t xml:space="preserve"> Bavarian Nordic</t>
    </r>
    <r>
      <rPr>
        <b/>
        <sz val="12"/>
        <color rgb="FFFFFFFF"/>
        <rFont val="Calibri"/>
        <family val="2"/>
      </rPr>
      <t xml:space="preserve">                                                                   (Sales in Millions of DKK)</t>
    </r>
  </si>
  <si>
    <t>Rabipur/RabAvert</t>
  </si>
  <si>
    <t>Rabies Vaccine</t>
  </si>
  <si>
    <r>
      <rPr>
        <b/>
        <sz val="12"/>
        <color rgb="FFFDB42B"/>
        <rFont val="Calibri"/>
        <family val="2"/>
      </rPr>
      <t xml:space="preserve"> Baxter International Inc. </t>
    </r>
    <r>
      <rPr>
        <b/>
        <sz val="12"/>
        <color theme="0"/>
        <rFont val="Calibri"/>
        <family val="2"/>
      </rPr>
      <t xml:space="preserve"> </t>
    </r>
    <r>
      <rPr>
        <b/>
        <sz val="12"/>
        <color theme="0"/>
        <rFont val="Calibri"/>
        <family val="2"/>
      </rPr>
      <t xml:space="preserve">                   (Sales in Millions of USD)</t>
    </r>
  </si>
  <si>
    <t>Renal Care</t>
  </si>
  <si>
    <r>
      <rPr>
        <b/>
        <sz val="12"/>
        <color rgb="FFFDB42B"/>
        <rFont val="Calibri"/>
        <family val="2"/>
      </rPr>
      <t xml:space="preserve"> Bayer</t>
    </r>
    <r>
      <rPr>
        <b/>
        <sz val="12"/>
        <color theme="0"/>
        <rFont val="Calibri"/>
        <family val="2"/>
      </rPr>
      <t xml:space="preserve">                                                    (Sales in Millions of Euro)</t>
    </r>
  </si>
  <si>
    <r>
      <rPr>
        <b/>
        <sz val="12"/>
        <color rgb="FFFDB42B"/>
        <rFont val="Calibri"/>
        <family val="2"/>
      </rPr>
      <t xml:space="preserve"> Biogen</t>
    </r>
    <r>
      <rPr>
        <b/>
        <sz val="12"/>
        <color theme="0"/>
        <rFont val="Calibri"/>
        <family val="2"/>
      </rPr>
      <t xml:space="preserve">                                      (Sales in Millions of USD)</t>
    </r>
  </si>
  <si>
    <t>Tecfidera</t>
  </si>
  <si>
    <t>Dimethyl Fumarate</t>
  </si>
  <si>
    <r>
      <rPr>
        <b/>
        <sz val="12"/>
        <color rgb="FFFDB42B"/>
        <rFont val="Calibri"/>
        <family val="2"/>
      </rPr>
      <t xml:space="preserve"> Biomarin</t>
    </r>
    <r>
      <rPr>
        <b/>
        <sz val="12"/>
        <color rgb="FFFFFFFF"/>
        <rFont val="Calibri"/>
        <family val="2"/>
      </rPr>
      <t xml:space="preserve">                                                                   (Sales in Millions of USD)</t>
    </r>
  </si>
  <si>
    <t>Vimizim</t>
  </si>
  <si>
    <t>Elosulfase Alfa</t>
  </si>
  <si>
    <r>
      <rPr>
        <b/>
        <sz val="12"/>
        <color rgb="FFFDB42B"/>
        <rFont val="Calibri"/>
        <family val="2"/>
      </rPr>
      <t xml:space="preserve"> Boehringer Ingelheim</t>
    </r>
    <r>
      <rPr>
        <b/>
        <sz val="12"/>
        <color theme="0"/>
        <rFont val="Calibri"/>
        <family val="2"/>
      </rPr>
      <t xml:space="preserve">                (Sales in Millions of Euro)</t>
    </r>
  </si>
  <si>
    <r>
      <rPr>
        <b/>
        <sz val="12"/>
        <color rgb="FFFDB42B"/>
        <rFont val="Calibri"/>
        <family val="2"/>
      </rPr>
      <t xml:space="preserve"> Bristol-Myers-Squibb</t>
    </r>
    <r>
      <rPr>
        <b/>
        <sz val="12"/>
        <color rgb="FFFFFFFF"/>
        <rFont val="Calibri"/>
        <family val="2"/>
      </rPr>
      <t xml:space="preserve">
 (Sales in Millions of USD)</t>
    </r>
  </si>
  <si>
    <t>Lenalidomide</t>
  </si>
  <si>
    <r>
      <rPr>
        <b/>
        <sz val="12"/>
        <color rgb="FFFDB42B"/>
        <rFont val="Calibri"/>
        <family val="2"/>
      </rPr>
      <t xml:space="preserve"> Chugai Pharmaceuticals</t>
    </r>
    <r>
      <rPr>
        <b/>
        <sz val="12"/>
        <color theme="0"/>
        <rFont val="Calibri"/>
        <family val="2"/>
      </rPr>
      <t xml:space="preserve">                       (Sales in Billions of Yen)</t>
    </r>
  </si>
  <si>
    <r>
      <rPr>
        <b/>
        <sz val="12"/>
        <color rgb="FFFDB42B"/>
        <rFont val="Calibri"/>
        <family val="2"/>
      </rPr>
      <t xml:space="preserve"> Cosmo Pharmaceuticals</t>
    </r>
    <r>
      <rPr>
        <b/>
        <sz val="12"/>
        <color rgb="FFFFFFFF"/>
        <rFont val="Calibri"/>
        <family val="2"/>
      </rPr>
      <t xml:space="preserve">                       (Sales in Millions of Euro)</t>
    </r>
  </si>
  <si>
    <t>Uceris</t>
  </si>
  <si>
    <r>
      <rPr>
        <b/>
        <sz val="12"/>
        <color rgb="FFFDB42B"/>
        <rFont val="Calibri"/>
        <family val="2"/>
      </rPr>
      <t xml:space="preserve"> Daiichi Sankyo</t>
    </r>
    <r>
      <rPr>
        <b/>
        <sz val="12"/>
        <color rgb="FFFFFFFF"/>
        <rFont val="Calibri"/>
        <family val="2"/>
      </rPr>
      <t xml:space="preserve">                                      (Sales in Billions of Yen)</t>
    </r>
  </si>
  <si>
    <t>Esomeprazole</t>
  </si>
  <si>
    <r>
      <rPr>
        <b/>
        <sz val="12"/>
        <color rgb="FFFDB42B"/>
        <rFont val="Calibri"/>
        <family val="2"/>
      </rPr>
      <t xml:space="preserve"> Dainippon Sumitomo</t>
    </r>
    <r>
      <rPr>
        <b/>
        <sz val="12"/>
        <color rgb="FFFFFFFF"/>
        <rFont val="Calibri"/>
        <family val="2"/>
      </rPr>
      <t xml:space="preserve">                        (Sales in Billions of YEN)</t>
    </r>
  </si>
  <si>
    <t>Equa/EquMet</t>
  </si>
  <si>
    <t>Vildagliptin/ Vildagliptin, Metformin</t>
  </si>
  <si>
    <r>
      <rPr>
        <b/>
        <sz val="12"/>
        <color rgb="FFFDB42B"/>
        <rFont val="Calibri"/>
        <family val="2"/>
      </rPr>
      <t xml:space="preserve"> Eisai Co. Ltd.</t>
    </r>
    <r>
      <rPr>
        <b/>
        <sz val="12"/>
        <color rgb="FFFFFFFF"/>
        <rFont val="Calibri"/>
        <family val="2"/>
      </rPr>
      <t xml:space="preserve">                                       (Sales in Billions of Yen)</t>
    </r>
  </si>
  <si>
    <t>Methycobal</t>
  </si>
  <si>
    <t>Methylcobalamin</t>
  </si>
  <si>
    <r>
      <rPr>
        <b/>
        <sz val="12"/>
        <color rgb="FFFDB42B"/>
        <rFont val="Calibri"/>
        <family val="2"/>
      </rPr>
      <t xml:space="preserve"> Endo Pharmaceuticals</t>
    </r>
    <r>
      <rPr>
        <b/>
        <sz val="12"/>
        <color theme="0"/>
        <rFont val="Calibri"/>
        <family val="2"/>
      </rPr>
      <t xml:space="preserve">                       (Sales in Million of USD)</t>
    </r>
  </si>
  <si>
    <t>Xiaflex</t>
  </si>
  <si>
    <t>Collagenase Clostridium Histolyticum</t>
  </si>
  <si>
    <r>
      <rPr>
        <b/>
        <sz val="12"/>
        <color rgb="FFFDB42B"/>
        <rFont val="Calibri"/>
        <family val="2"/>
      </rPr>
      <t xml:space="preserve"> Eli Lilly</t>
    </r>
    <r>
      <rPr>
        <b/>
        <sz val="12"/>
        <color theme="0"/>
        <rFont val="Calibri"/>
        <family val="2"/>
      </rPr>
      <t xml:space="preserve">                                     (Sales in Millions of USD)</t>
    </r>
  </si>
  <si>
    <r>
      <rPr>
        <b/>
        <sz val="12"/>
        <color rgb="FFFDB42B"/>
        <rFont val="Calibri"/>
        <family val="2"/>
      </rPr>
      <t xml:space="preserve"> Fresenius SE &amp; Co. KGaA</t>
    </r>
    <r>
      <rPr>
        <b/>
        <sz val="12"/>
        <color theme="0"/>
        <rFont val="Calibri"/>
        <family val="2"/>
      </rPr>
      <t xml:space="preserve">                      (Sales in Million of Euro)</t>
    </r>
  </si>
  <si>
    <t>Fresenius Medical Care</t>
  </si>
  <si>
    <t>Fresenius Helios</t>
  </si>
  <si>
    <t>Fresenius Vamed</t>
  </si>
  <si>
    <r>
      <rPr>
        <b/>
        <sz val="12"/>
        <color rgb="FFFDB42B"/>
        <rFont val="Calibri"/>
        <family val="2"/>
      </rPr>
      <t xml:space="preserve"> Gilead</t>
    </r>
    <r>
      <rPr>
        <b/>
        <sz val="12"/>
        <color rgb="FFFFFFFF"/>
        <rFont val="Calibri"/>
        <family val="2"/>
      </rPr>
      <t xml:space="preserve">                                       (Sales in Millions of USD)</t>
    </r>
  </si>
  <si>
    <t>Bictegravir, Emtricitabine and Tenofovir Alafenamide</t>
  </si>
  <si>
    <r>
      <rPr>
        <b/>
        <sz val="12"/>
        <color rgb="FFFDB42B"/>
        <rFont val="Calibri"/>
        <family val="2"/>
      </rPr>
      <t xml:space="preserve"> GlaxoSmithKline</t>
    </r>
    <r>
      <rPr>
        <b/>
        <sz val="12"/>
        <color theme="0"/>
        <rFont val="Calibri"/>
        <family val="2"/>
      </rPr>
      <t xml:space="preserve">                            (Sales in Millions of GBP)</t>
    </r>
  </si>
  <si>
    <t>Anoro Ellipta</t>
  </si>
  <si>
    <t>Umeclidinium and Vilanterol</t>
  </si>
  <si>
    <r>
      <rPr>
        <b/>
        <sz val="12"/>
        <color rgb="FFFDB42B"/>
        <rFont val="Calibri"/>
        <family val="2"/>
      </rPr>
      <t>Ionis Pharmaceuticals</t>
    </r>
    <r>
      <rPr>
        <b/>
        <sz val="12"/>
        <color rgb="FFFFFFFF"/>
        <rFont val="Calibri"/>
        <family val="2"/>
      </rPr>
      <t xml:space="preserve">                       (Sales in Million of USD)</t>
    </r>
  </si>
  <si>
    <t xml:space="preserve">SPINRAZA royalties </t>
  </si>
  <si>
    <r>
      <rPr>
        <b/>
        <sz val="12"/>
        <color rgb="FFFDB42B"/>
        <rFont val="Calibri"/>
        <family val="2"/>
      </rPr>
      <t xml:space="preserve"> Ipsen</t>
    </r>
    <r>
      <rPr>
        <b/>
        <sz val="12"/>
        <color rgb="FFFFFFFF"/>
        <rFont val="Calibri"/>
        <family val="2"/>
      </rPr>
      <t xml:space="preserve">                                                   (Sales in Millions of Euro)</t>
    </r>
  </si>
  <si>
    <t>Somatuline</t>
  </si>
  <si>
    <t>Lanreotide</t>
  </si>
  <si>
    <r>
      <rPr>
        <b/>
        <sz val="12"/>
        <color rgb="FFFDB42B"/>
        <rFont val="Calibri"/>
        <family val="2"/>
      </rPr>
      <t xml:space="preserve"> Jazz Pharma</t>
    </r>
    <r>
      <rPr>
        <b/>
        <sz val="12"/>
        <color theme="0"/>
        <rFont val="Calibri"/>
        <family val="2"/>
      </rPr>
      <t xml:space="preserve">                                         (Sales in Millions of USD)</t>
    </r>
  </si>
  <si>
    <t>Xyrem</t>
  </si>
  <si>
    <t>Sodium Oxybate</t>
  </si>
  <si>
    <r>
      <rPr>
        <b/>
        <sz val="12"/>
        <color rgb="FFFDB42B"/>
        <rFont val="Calibri"/>
        <family val="2"/>
      </rPr>
      <t xml:space="preserve"> Johnson &amp; Johnson</t>
    </r>
    <r>
      <rPr>
        <b/>
        <sz val="12"/>
        <color rgb="FFFFFFFF"/>
        <rFont val="Calibri"/>
        <family val="2"/>
      </rPr>
      <t xml:space="preserve">                                 (Sales in Millions of USD)</t>
    </r>
  </si>
  <si>
    <r>
      <rPr>
        <b/>
        <sz val="12"/>
        <color rgb="FFFDB42B"/>
        <rFont val="Calibri"/>
        <family val="2"/>
      </rPr>
      <t xml:space="preserve"> Kyowa Kirin</t>
    </r>
    <r>
      <rPr>
        <b/>
        <sz val="12"/>
        <color theme="0"/>
        <rFont val="Calibri"/>
        <family val="2"/>
      </rPr>
      <t xml:space="preserve">                                    (Sales in Billions of Yen)</t>
    </r>
  </si>
  <si>
    <t>Growth(%)</t>
  </si>
  <si>
    <t>Nesp</t>
  </si>
  <si>
    <r>
      <rPr>
        <b/>
        <sz val="12"/>
        <color rgb="FFFDB42B"/>
        <rFont val="Calibri"/>
        <family val="2"/>
      </rPr>
      <t xml:space="preserve"> Lunbeck </t>
    </r>
    <r>
      <rPr>
        <b/>
        <sz val="12"/>
        <color rgb="FFFFFFFF"/>
        <rFont val="Calibri"/>
        <family val="2"/>
      </rPr>
      <t xml:space="preserve">                               (Sales in Millions of DKK)</t>
    </r>
  </si>
  <si>
    <t>North America</t>
  </si>
  <si>
    <t>International Markets</t>
  </si>
  <si>
    <t>Abilify Maintena</t>
  </si>
  <si>
    <r>
      <rPr>
        <b/>
        <sz val="12"/>
        <color rgb="FFFDB42B"/>
        <rFont val="Calibri"/>
        <family val="2"/>
      </rPr>
      <t xml:space="preserve"> Mallinckrodt Plc</t>
    </r>
    <r>
      <rPr>
        <b/>
        <sz val="12"/>
        <color rgb="FFFFFFFF"/>
        <rFont val="Calibri"/>
        <family val="2"/>
      </rPr>
      <t xml:space="preserve">                                         (Sales in Million of USD)</t>
    </r>
  </si>
  <si>
    <t>Acthar</t>
  </si>
  <si>
    <t>Corticotropin</t>
  </si>
  <si>
    <r>
      <rPr>
        <b/>
        <sz val="12"/>
        <color rgb="FFFDB42B"/>
        <rFont val="Calibri"/>
        <family val="2"/>
      </rPr>
      <t xml:space="preserve"> Merck &amp; Co. </t>
    </r>
    <r>
      <rPr>
        <b/>
        <sz val="12"/>
        <color rgb="FFFFFFFF"/>
        <rFont val="Calibri"/>
        <family val="2"/>
      </rPr>
      <t xml:space="preserve">                       (Sales in Millions of USD)</t>
    </r>
  </si>
  <si>
    <t>Pembrolizumab</t>
  </si>
  <si>
    <r>
      <rPr>
        <b/>
        <sz val="12"/>
        <color rgb="FFFDB42B"/>
        <rFont val="Calibri"/>
        <family val="2"/>
      </rPr>
      <t xml:space="preserve"> Mitsubishi Tanabe</t>
    </r>
    <r>
      <rPr>
        <b/>
        <sz val="12"/>
        <color rgb="FFFFFFFF"/>
        <rFont val="Calibri"/>
        <family val="2"/>
      </rPr>
      <t xml:space="preserve">                  (Sales in Billions of Yen)</t>
    </r>
  </si>
  <si>
    <r>
      <rPr>
        <b/>
        <sz val="13"/>
        <color rgb="FFFDB42B"/>
        <rFont val="Calibri"/>
        <family val="2"/>
      </rPr>
      <t xml:space="preserve"> Mylan  </t>
    </r>
    <r>
      <rPr>
        <b/>
        <sz val="11"/>
        <color rgb="FFFFFFFF"/>
        <rFont val="Calibri"/>
        <family val="2"/>
      </rPr>
      <t xml:space="preserve">                                                                      (Sales in Millions of USD)</t>
    </r>
  </si>
  <si>
    <t>Total (Nine Months ended Sep. 2020)</t>
  </si>
  <si>
    <t>Total (Nine Months ended Sep. 2019)</t>
  </si>
  <si>
    <t>Central Nervous System and Anesthesia</t>
  </si>
  <si>
    <r>
      <rPr>
        <b/>
        <sz val="12"/>
        <color rgb="FFFDB42B"/>
        <rFont val="Calibri"/>
        <family val="2"/>
      </rPr>
      <t xml:space="preserve"> Upjohn  
</t>
    </r>
    <r>
      <rPr>
        <b/>
        <sz val="12"/>
        <color rgb="FFFFFFFF"/>
        <rFont val="Calibri"/>
        <family val="2"/>
      </rPr>
      <t xml:space="preserve"> (Sales in Millions of USD)</t>
    </r>
  </si>
  <si>
    <t>(a) Beginning in 2020, Upjohn began managing our Meridian subsidiary, the manufacturer of EpiPen and other auto-injector products, and a pre-existing strategic collaboration between Pfizer and Mylan for generic drugs in Japan (Mylan-Japan). As a result, revenues associated with our Meridian subsidiary, except for product revenues for EpiPen sold in Canada, and Mylan-Japan, are reported in our Upjohn business beginning in the first quarter of 2020.</t>
  </si>
  <si>
    <r>
      <rPr>
        <b/>
        <sz val="12"/>
        <color rgb="FFFDB42B"/>
        <rFont val="Calibri"/>
        <family val="2"/>
      </rPr>
      <t xml:space="preserve"> Viatris</t>
    </r>
    <r>
      <rPr>
        <b/>
        <sz val="12"/>
        <color rgb="FFFFFFFF"/>
        <rFont val="Calibri"/>
        <family val="2"/>
      </rPr>
      <t xml:space="preserve">                                                  (Sales in Millions of USD)</t>
    </r>
  </si>
  <si>
    <r>
      <rPr>
        <sz val="11"/>
        <color theme="1"/>
        <rFont val="Calibri"/>
        <family val="2"/>
      </rPr>
      <t xml:space="preserve">For the year ended December 31, 2020, the Company reported total revenues of $11.95 billion, compared to $11.50 billion for the comparable prior year period, representing an increase of $445.5 million, or 4%. 
</t>
    </r>
    <r>
      <rPr>
        <b/>
        <sz val="11"/>
        <color theme="1"/>
        <rFont val="Calibri"/>
        <family val="2"/>
      </rPr>
      <t xml:space="preserve">Total revenues include both net sales and other revenues from third parties. 
</t>
    </r>
    <r>
      <rPr>
        <sz val="11"/>
        <color theme="1"/>
        <rFont val="Calibri"/>
        <family val="2"/>
      </rPr>
      <t>Net sales for the year ended December 31, 2020 were $11.82 billion, compared to $11.37 billion for the comparable prior year period, representing an increase of $449.6 million, or 4%. 
Other revenues for the year ended December 31, 2020 were $126.1 million, compared to $130.2 million for the comparable prior year period, a decrease of $4.1 million.
In accordance with ASC 805, Business Combinations, Mylan is considered the accounting acquirer of the Upjohn Business and all historical financial information prior to November 16, 2020 represents Mylan’s historical results.
The total revenues of the Upjohn Business for the period from the acquisition date to December 31, 2020, were $866.5 million and net loss, net of tax, was approximately $360.9 million. The net loss for the period includes the effect of the purchase accounting adjustments and acquisition related costs.</t>
    </r>
  </si>
  <si>
    <r>
      <rPr>
        <b/>
        <sz val="12"/>
        <color rgb="FFFDB42B"/>
        <rFont val="Calibri"/>
        <family val="2"/>
      </rPr>
      <t xml:space="preserve"> Neurocrine </t>
    </r>
    <r>
      <rPr>
        <b/>
        <sz val="12"/>
        <color rgb="FFF2F2F2"/>
        <rFont val="Calibri"/>
        <family val="2"/>
      </rPr>
      <t xml:space="preserve">                                                         (Sales in Millions of USD)</t>
    </r>
  </si>
  <si>
    <t>Ingrezza</t>
  </si>
  <si>
    <t>Valbenazine</t>
  </si>
  <si>
    <r>
      <rPr>
        <b/>
        <sz val="12"/>
        <color rgb="FFFDB42B"/>
        <rFont val="Calibri"/>
        <family val="2"/>
      </rPr>
      <t xml:space="preserve"> Novartis </t>
    </r>
    <r>
      <rPr>
        <b/>
        <sz val="12"/>
        <color rgb="FFF2F2F2"/>
        <rFont val="Calibri"/>
        <family val="2"/>
      </rPr>
      <t xml:space="preserve">                                                         (Sales in Millions of USD)</t>
    </r>
  </si>
  <si>
    <t>Tasigna</t>
  </si>
  <si>
    <t>Nilotinib</t>
  </si>
  <si>
    <r>
      <rPr>
        <b/>
        <sz val="12"/>
        <color rgb="FFFDB42B"/>
        <rFont val="Calibri"/>
        <family val="2"/>
      </rPr>
      <t xml:space="preserve"> Novo Nordisk</t>
    </r>
    <r>
      <rPr>
        <b/>
        <sz val="12"/>
        <color rgb="FFFFFFFF"/>
        <rFont val="Calibri"/>
        <family val="2"/>
      </rPr>
      <t xml:space="preserve">                                               (Sales in Millions of DKK)</t>
    </r>
  </si>
  <si>
    <t>Long-acting Insulin</t>
  </si>
  <si>
    <r>
      <rPr>
        <b/>
        <sz val="12"/>
        <color rgb="FFFDB42B"/>
        <rFont val="Calibri"/>
        <family val="2"/>
      </rPr>
      <t xml:space="preserve"> Ono Pharmaceuticals</t>
    </r>
    <r>
      <rPr>
        <b/>
        <sz val="12"/>
        <color rgb="FFFFFFFF"/>
        <rFont val="Calibri"/>
        <family val="2"/>
      </rPr>
      <t xml:space="preserve">
 (Sales in Billions of Yen)</t>
    </r>
  </si>
  <si>
    <t xml:space="preserve">Opdivo </t>
  </si>
  <si>
    <r>
      <rPr>
        <b/>
        <sz val="13"/>
        <color rgb="FFFDB42B"/>
        <rFont val="Calibri"/>
        <family val="2"/>
      </rPr>
      <t xml:space="preserve"> Otsuka Holdings Company Limited</t>
    </r>
    <r>
      <rPr>
        <b/>
        <sz val="11"/>
        <color theme="0"/>
        <rFont val="Calibri"/>
        <family val="2"/>
      </rPr>
      <t xml:space="preserve">              (Sales in Billions of Yen)</t>
    </r>
  </si>
  <si>
    <r>
      <rPr>
        <b/>
        <sz val="12"/>
        <color rgb="FFFDB42B"/>
        <rFont val="Calibri"/>
        <family val="2"/>
      </rPr>
      <t xml:space="preserve">Pfizer Inc. </t>
    </r>
    <r>
      <rPr>
        <b/>
        <sz val="12"/>
        <color theme="0"/>
        <rFont val="Calibri"/>
        <family val="2"/>
      </rPr>
      <t xml:space="preserve">                                  (Sales in Millions of USD)</t>
    </r>
  </si>
  <si>
    <t>Total Sales Outside US</t>
  </si>
  <si>
    <r>
      <rPr>
        <b/>
        <sz val="12"/>
        <color rgb="FFFDB42B"/>
        <rFont val="Calibri"/>
        <family val="2"/>
      </rPr>
      <t xml:space="preserve"> Regeneron Pharmaceuticals</t>
    </r>
    <r>
      <rPr>
        <b/>
        <sz val="12"/>
        <color theme="0"/>
        <rFont val="Calibri"/>
        <family val="2"/>
      </rPr>
      <t xml:space="preserve">        (Sales in Millions of USD)</t>
    </r>
  </si>
  <si>
    <t xml:space="preserve">Regeneron records net product sales of: 
- EYLEA,  Libtayo in the United States
- Effective April 1, 2020, Regeneron records net product sales of Praluent in the United States
- Regeneron records net product sales of REGEN-COV in connection with its agreements with the U.S. government.
</t>
  </si>
  <si>
    <r>
      <rPr>
        <b/>
        <sz val="12"/>
        <color rgb="FFFDB42B"/>
        <rFont val="Calibri"/>
        <family val="2"/>
      </rPr>
      <t xml:space="preserve"> Roche</t>
    </r>
    <r>
      <rPr>
        <b/>
        <sz val="12"/>
        <color rgb="FFFFFFFF"/>
        <rFont val="Calibri"/>
        <family val="2"/>
      </rPr>
      <t xml:space="preserve">                                                           (Sales in Millions of CHF)</t>
    </r>
  </si>
  <si>
    <t>Avastin</t>
  </si>
  <si>
    <t>Bevacizumab</t>
  </si>
  <si>
    <r>
      <rPr>
        <b/>
        <sz val="12"/>
        <color rgb="FFFDB42B"/>
        <rFont val="Calibri"/>
        <family val="2"/>
      </rPr>
      <t xml:space="preserve"> Sanofi</t>
    </r>
    <r>
      <rPr>
        <b/>
        <sz val="12"/>
        <color rgb="FFFFFFFF"/>
        <rFont val="Calibri"/>
        <family val="2"/>
      </rPr>
      <t xml:space="preserve">                                             (Sales in Millions of Euro)</t>
    </r>
  </si>
  <si>
    <t>Western Europe</t>
  </si>
  <si>
    <t xml:space="preserve">Dupixent </t>
  </si>
  <si>
    <r>
      <rPr>
        <b/>
        <sz val="12"/>
        <color rgb="FFFDB42B"/>
        <rFont val="Calibri"/>
        <family val="2"/>
      </rPr>
      <t xml:space="preserve"> Shionogi &amp; Co. Ltd</t>
    </r>
    <r>
      <rPr>
        <b/>
        <sz val="12"/>
        <color theme="0"/>
        <rFont val="Calibri"/>
        <family val="2"/>
      </rPr>
      <t xml:space="preserve">   </t>
    </r>
    <r>
      <rPr>
        <b/>
        <sz val="12"/>
        <color theme="0"/>
        <rFont val="Calibri"/>
        <family val="2"/>
      </rPr>
      <t xml:space="preserve">                        (Sales in Billions of Yen)</t>
    </r>
  </si>
  <si>
    <t>Prescription Drugs</t>
  </si>
  <si>
    <r>
      <rPr>
        <b/>
        <sz val="12"/>
        <color rgb="FFFDB42B"/>
        <rFont val="Calibri"/>
        <family val="2"/>
      </rPr>
      <t xml:space="preserve"> Swedish Orphan Biovitrum AB (Sobi)</t>
    </r>
    <r>
      <rPr>
        <b/>
        <sz val="12"/>
        <color theme="0"/>
        <rFont val="Calibri"/>
        <family val="2"/>
      </rPr>
      <t xml:space="preserve">        (Sales in Millions of SEK)</t>
    </r>
  </si>
  <si>
    <t>Elocta</t>
  </si>
  <si>
    <t>Efmoroctocog alfa</t>
  </si>
  <si>
    <r>
      <rPr>
        <b/>
        <sz val="12"/>
        <color rgb="FFFDB42B"/>
        <rFont val="Calibri"/>
        <family val="2"/>
      </rPr>
      <t xml:space="preserve"> Takeda </t>
    </r>
    <r>
      <rPr>
        <b/>
        <sz val="12"/>
        <color rgb="FFFFFFFF"/>
        <rFont val="Calibri"/>
        <family val="2"/>
      </rPr>
      <t xml:space="preserve">                                                    (Sales in Billions of Yen)</t>
    </r>
  </si>
  <si>
    <t>Entyvio</t>
  </si>
  <si>
    <t>Vedolizumab</t>
  </si>
  <si>
    <r>
      <rPr>
        <b/>
        <sz val="12"/>
        <color rgb="FFFDB42B"/>
        <rFont val="Calibri"/>
        <family val="2"/>
      </rPr>
      <t xml:space="preserve"> Teva  </t>
    </r>
    <r>
      <rPr>
        <b/>
        <sz val="12"/>
        <color theme="0"/>
        <rFont val="Calibri"/>
        <family val="2"/>
      </rPr>
      <t xml:space="preserve">                                      (Sales in Millions of USD)</t>
    </r>
  </si>
  <si>
    <t>International (ROW)</t>
  </si>
  <si>
    <t>Generics medicines</t>
  </si>
  <si>
    <r>
      <rPr>
        <b/>
        <sz val="12"/>
        <color rgb="FFFDB42B"/>
        <rFont val="Calibri"/>
        <family val="2"/>
      </rPr>
      <t xml:space="preserve"> UCB        </t>
    </r>
    <r>
      <rPr>
        <b/>
        <sz val="12"/>
        <color theme="0"/>
        <rFont val="Calibri"/>
        <family val="2"/>
      </rPr>
      <t xml:space="preserve">                                      (Sales in Millions of Euro)</t>
    </r>
  </si>
  <si>
    <t>Certolizumab pegol</t>
  </si>
  <si>
    <r>
      <rPr>
        <b/>
        <sz val="12"/>
        <color rgb="FFFDB42B"/>
        <rFont val="Calibri"/>
        <family val="2"/>
      </rPr>
      <t xml:space="preserve"> Ultragenyx Pharm Inc</t>
    </r>
    <r>
      <rPr>
        <b/>
        <sz val="12"/>
        <color rgb="FFFFFFFF"/>
        <rFont val="Calibri"/>
        <family val="2"/>
      </rPr>
      <t xml:space="preserve">                    (Sales in Millions of USD)</t>
    </r>
  </si>
  <si>
    <t>Burosumab-twza</t>
  </si>
  <si>
    <r>
      <rPr>
        <b/>
        <sz val="12"/>
        <color rgb="FFFDB42B"/>
        <rFont val="Calibri"/>
        <family val="2"/>
      </rPr>
      <t xml:space="preserve"> United Therapeutics </t>
    </r>
    <r>
      <rPr>
        <b/>
        <sz val="12"/>
        <color theme="0"/>
        <rFont val="Calibri"/>
        <family val="2"/>
      </rPr>
      <t xml:space="preserve">                   (Sales in Millions of USD)</t>
    </r>
  </si>
  <si>
    <t>Remodulin</t>
  </si>
  <si>
    <t>Treprostinil Sodium</t>
  </si>
  <si>
    <r>
      <rPr>
        <b/>
        <sz val="12"/>
        <color rgb="FFFDB42B"/>
        <rFont val="Calibri"/>
        <family val="2"/>
      </rPr>
      <t xml:space="preserve"> Vertex </t>
    </r>
    <r>
      <rPr>
        <b/>
        <sz val="12"/>
        <color theme="0"/>
        <rFont val="Calibri"/>
        <family val="2"/>
      </rPr>
      <t xml:space="preserve">                                                   (Sales in Millions of USD)</t>
    </r>
  </si>
  <si>
    <t>Kalydeco</t>
  </si>
  <si>
    <t>Ivacaftor</t>
  </si>
  <si>
    <t>Carbidopa and Levodopa</t>
  </si>
  <si>
    <t>Brimonidine Tartrate and Timolol Maleate</t>
  </si>
  <si>
    <t>Norethindrone Acetate and Ethinyl Estradiol</t>
  </si>
  <si>
    <t>Glecaprevir and Pibrentasvir</t>
  </si>
  <si>
    <t>Glycopyrrolate and Formoterol Fumarate</t>
  </si>
  <si>
    <t>Budesonide, Glycopyrronium and Formoterol Fumarate</t>
  </si>
  <si>
    <t>Ivermectin and Pyrantel</t>
  </si>
  <si>
    <t>Olmesartan Medoxomil and Azelnidipine</t>
  </si>
  <si>
    <t>Vildagliptin/ Vildagliptin and Metformin</t>
  </si>
  <si>
    <t>Teneligliptin and Canagliflozin</t>
  </si>
  <si>
    <t>Dabrafenib and Trametinib</t>
  </si>
  <si>
    <t>Saxagliptin/Saxagliptin and Metoprolol Hydrochloride</t>
  </si>
  <si>
    <t>Calcipotriol Hydrate and Betamethasone Dipropionate</t>
  </si>
  <si>
    <t>Irbesartan/Irbesartan and Hydrochlorothiazide</t>
  </si>
  <si>
    <r>
      <t xml:space="preserve">Product Type </t>
    </r>
    <r>
      <rPr>
        <b/>
        <sz val="9"/>
        <color rgb="FFFFFFFF"/>
        <rFont val="Calibri"/>
        <family val="2"/>
        <scheme val="minor"/>
      </rPr>
      <t>(Chemical/Biological/Vaccines)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</si>
</sst>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
    <numFmt numFmtId="166" formatCode="#,##0.0"/>
    <numFmt numFmtId="167" formatCode="#,##0;[Red]#,##0"/>
    <numFmt numFmtId="168" formatCode="#,##0.0;[Red]#,##0.0"/>
    <numFmt numFmtId="169" formatCode="#,##0.0,,;\(#,##0.0,,\);0.0,,;_(@_)"/>
    <numFmt numFmtId="170" formatCode="0.000"/>
  </numFmts>
  <fonts count="51" x14ac:knownFonts="1">
    <font>
      <sz val="10"/>
      <color rgb="FF000000"/>
      <name val="Arial"/>
    </font>
    <font>
      <sz val="11"/>
      <color theme="1"/>
      <name val="Calibri"/>
      <family val="2"/>
      <scheme val="minor"/>
    </font>
    <font>
      <sz val="11"/>
      <color theme="1"/>
      <name val="Calibri"/>
      <family val="2"/>
      <scheme val="minor"/>
    </font>
    <font>
      <sz val="11"/>
      <color theme="1"/>
      <name val="Calibri"/>
      <family val="2"/>
    </font>
    <font>
      <b/>
      <sz val="11"/>
      <color theme="0"/>
      <name val="Calibri"/>
      <family val="2"/>
    </font>
    <font>
      <b/>
      <sz val="11"/>
      <color rgb="FFFFFFFF"/>
      <name val="Calibri"/>
      <family val="2"/>
    </font>
    <font>
      <sz val="11"/>
      <color theme="1"/>
      <name val="Arial"/>
      <family val="2"/>
    </font>
    <font>
      <b/>
      <sz val="11"/>
      <color theme="1"/>
      <name val="Calibri"/>
      <family val="2"/>
    </font>
    <font>
      <b/>
      <sz val="11"/>
      <color rgb="FF000000"/>
      <name val="Calibri"/>
      <family val="2"/>
    </font>
    <font>
      <b/>
      <sz val="11"/>
      <color theme="1"/>
      <name val="Arial"/>
      <family val="2"/>
    </font>
    <font>
      <sz val="11"/>
      <color rgb="FF000000"/>
      <name val="Calibri"/>
      <family val="2"/>
    </font>
    <font>
      <sz val="10"/>
      <color theme="1"/>
      <name val="Calibri"/>
      <family val="2"/>
    </font>
    <font>
      <sz val="11"/>
      <name val="Calibri"/>
      <family val="2"/>
    </font>
    <font>
      <b/>
      <sz val="12"/>
      <color rgb="FFFFFFFF"/>
      <name val="Calibri"/>
      <family val="2"/>
    </font>
    <font>
      <sz val="10"/>
      <color rgb="FF000000"/>
      <name val="Calibri"/>
      <family val="2"/>
    </font>
    <font>
      <sz val="10"/>
      <color theme="1"/>
      <name val="Calibri"/>
      <family val="2"/>
    </font>
    <font>
      <sz val="12"/>
      <color rgb="FF000000"/>
      <name val="Calibri"/>
      <family val="2"/>
    </font>
    <font>
      <sz val="10"/>
      <name val="Arial"/>
      <family val="2"/>
    </font>
    <font>
      <b/>
      <sz val="12"/>
      <color theme="0"/>
      <name val="Calibri"/>
      <family val="2"/>
    </font>
    <font>
      <sz val="12"/>
      <color theme="1"/>
      <name val="Calibri"/>
      <family val="2"/>
    </font>
    <font>
      <b/>
      <u/>
      <sz val="11"/>
      <color rgb="FF0000FF"/>
      <name val="Calibri"/>
      <family val="2"/>
    </font>
    <font>
      <u/>
      <sz val="11"/>
      <color theme="10"/>
      <name val="Calibri"/>
      <family val="2"/>
    </font>
    <font>
      <sz val="12"/>
      <name val="Calibri"/>
      <family val="2"/>
    </font>
    <font>
      <u/>
      <sz val="11"/>
      <color theme="10"/>
      <name val="Calibri"/>
      <family val="2"/>
    </font>
    <font>
      <u/>
      <sz val="11"/>
      <color theme="10"/>
      <name val="Calibri"/>
      <family val="2"/>
    </font>
    <font>
      <u/>
      <sz val="11"/>
      <color rgb="FF000000"/>
      <name val="Calibri"/>
      <family val="2"/>
    </font>
    <font>
      <b/>
      <u/>
      <sz val="11"/>
      <color rgb="FF000000"/>
      <name val="Calibri"/>
      <family val="2"/>
    </font>
    <font>
      <b/>
      <sz val="11"/>
      <color rgb="FFFF0000"/>
      <name val="Calibri"/>
      <family val="2"/>
    </font>
    <font>
      <sz val="11"/>
      <color rgb="FF2C2D30"/>
      <name val="Calibri"/>
      <family val="2"/>
    </font>
    <font>
      <u/>
      <sz val="12"/>
      <color rgb="FF0563C1"/>
      <name val="Calibri"/>
      <family val="2"/>
    </font>
    <font>
      <b/>
      <sz val="12"/>
      <color rgb="FFFDB42B"/>
      <name val="Calibri"/>
      <family val="2"/>
    </font>
    <font>
      <b/>
      <sz val="12"/>
      <color rgb="FFF2F2F2"/>
      <name val="Calibri"/>
      <family val="2"/>
    </font>
    <font>
      <sz val="11"/>
      <color rgb="FFFF0000"/>
      <name val="Calibri"/>
      <family val="2"/>
    </font>
    <font>
      <sz val="10"/>
      <name val="Calibri"/>
      <family val="2"/>
    </font>
    <font>
      <b/>
      <sz val="10"/>
      <color rgb="FF000000"/>
      <name val="Calibri"/>
      <family val="2"/>
    </font>
    <font>
      <sz val="12"/>
      <color rgb="FF000000"/>
      <name val="Arial"/>
      <family val="2"/>
    </font>
    <font>
      <sz val="11"/>
      <color rgb="FF000000"/>
      <name val="Arial"/>
      <family val="2"/>
    </font>
    <font>
      <b/>
      <u/>
      <sz val="11"/>
      <color theme="10"/>
      <name val="Calibri"/>
      <family val="2"/>
    </font>
    <font>
      <u/>
      <sz val="11"/>
      <color theme="1"/>
      <name val="Calibri"/>
      <family val="2"/>
    </font>
    <font>
      <b/>
      <u/>
      <sz val="11"/>
      <color theme="1"/>
      <name val="Calibri"/>
      <family val="2"/>
    </font>
    <font>
      <b/>
      <sz val="13"/>
      <color rgb="FFFDB42B"/>
      <name val="Calibri"/>
      <family val="2"/>
    </font>
    <font>
      <b/>
      <sz val="11"/>
      <color theme="0"/>
      <name val="Calibri"/>
      <family val="2"/>
      <scheme val="minor"/>
    </font>
    <font>
      <b/>
      <sz val="11"/>
      <color rgb="FFFFFFFF"/>
      <name val="Calibri"/>
      <family val="2"/>
      <scheme val="minor"/>
    </font>
    <font>
      <sz val="11"/>
      <color rgb="FF000000"/>
      <name val="Calibri"/>
      <family val="2"/>
      <scheme val="minor"/>
    </font>
    <font>
      <b/>
      <sz val="9"/>
      <color rgb="FFFFFFFF"/>
      <name val="Calibri"/>
      <family val="2"/>
      <scheme val="minor"/>
    </font>
    <font>
      <b/>
      <sz val="11"/>
      <color theme="1"/>
      <name val="Calibri"/>
      <family val="2"/>
      <scheme val="minor"/>
    </font>
    <font>
      <b/>
      <sz val="11"/>
      <color rgb="FF000000"/>
      <name val="Calibri"/>
      <family val="2"/>
      <scheme val="minor"/>
    </font>
    <font>
      <sz val="20"/>
      <color rgb="FFFF0000"/>
      <name val="Calibri"/>
      <family val="2"/>
      <scheme val="minor"/>
    </font>
    <font>
      <b/>
      <sz val="17"/>
      <name val="Calibri"/>
      <family val="2"/>
      <scheme val="minor"/>
    </font>
    <font>
      <b/>
      <sz val="23"/>
      <color theme="3"/>
      <name val="Calibri"/>
      <family val="2"/>
      <scheme val="minor"/>
    </font>
    <font>
      <sz val="16"/>
      <color theme="4"/>
      <name val="Calibri"/>
      <family val="2"/>
      <scheme val="minor"/>
    </font>
  </fonts>
  <fills count="1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00C3B"/>
        <bgColor rgb="FF000C3B"/>
      </patternFill>
    </fill>
    <fill>
      <patternFill patternType="solid">
        <fgColor rgb="FFCCCCCC"/>
        <bgColor rgb="FFCCCCCC"/>
      </patternFill>
    </fill>
    <fill>
      <patternFill patternType="solid">
        <fgColor rgb="FFFEFEFE"/>
        <bgColor rgb="FFFEFEFE"/>
      </patternFill>
    </fill>
    <fill>
      <patternFill patternType="solid">
        <fgColor rgb="FFAEABAB"/>
        <bgColor rgb="FFAEABAB"/>
      </patternFill>
    </fill>
    <fill>
      <patternFill patternType="solid">
        <fgColor rgb="FFB7B7B7"/>
        <bgColor rgb="FFB7B7B7"/>
      </patternFill>
    </fill>
    <fill>
      <patternFill patternType="solid">
        <fgColor theme="2" tint="-4.9989318521683403E-2"/>
        <bgColor indexed="64"/>
      </patternFill>
    </fill>
    <fill>
      <patternFill patternType="solid">
        <fgColor theme="0" tint="-4.9989318521683403E-2"/>
        <bgColor indexed="64"/>
      </patternFill>
    </fill>
    <fill>
      <patternFill patternType="solid">
        <fgColor rgb="FF000C3B"/>
        <bgColor indexed="64"/>
      </patternFill>
    </fill>
    <fill>
      <patternFill patternType="solid">
        <fgColor rgb="FF000C3B"/>
        <bgColor rgb="FF171616"/>
      </patternFill>
    </fill>
    <fill>
      <patternFill patternType="solid">
        <fgColor theme="0"/>
        <bgColor indexed="64"/>
      </patternFill>
    </fill>
    <fill>
      <patternFill patternType="solid">
        <fgColor theme="4" tint="-0.249977111117893"/>
        <bgColor rgb="FF002060"/>
      </patternFill>
    </fill>
    <fill>
      <patternFill patternType="solid">
        <fgColor theme="4" tint="-0.249977111117893"/>
        <bgColor rgb="FF00B05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000000"/>
      </left>
      <right style="thin">
        <color rgb="FF000000"/>
      </right>
      <top style="thin">
        <color rgb="FF000000"/>
      </top>
      <bottom/>
      <diagonal/>
    </border>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302">
    <xf numFmtId="0" fontId="0" fillId="0" borderId="0" xfId="0" applyFont="1" applyAlignment="1"/>
    <xf numFmtId="0" fontId="3" fillId="2" borderId="1" xfId="0" applyFont="1" applyFill="1" applyBorder="1"/>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3" fillId="0" borderId="0" xfId="0" applyFont="1"/>
    <xf numFmtId="0" fontId="11" fillId="0" borderId="0" xfId="0" applyFont="1"/>
    <xf numFmtId="0" fontId="13" fillId="4" borderId="3" xfId="0" applyFont="1" applyFill="1" applyBorder="1" applyAlignment="1">
      <alignment vertical="center" wrapText="1"/>
    </xf>
    <xf numFmtId="0" fontId="13" fillId="4" borderId="3" xfId="0" applyFont="1" applyFill="1" applyBorder="1" applyAlignment="1">
      <alignment horizontal="center" vertical="center" wrapText="1"/>
    </xf>
    <xf numFmtId="3" fontId="13" fillId="4" borderId="3" xfId="0" applyNumberFormat="1" applyFont="1" applyFill="1" applyBorder="1" applyAlignment="1">
      <alignment horizontal="center" vertical="center" wrapText="1"/>
    </xf>
    <xf numFmtId="0" fontId="16" fillId="0" borderId="0" xfId="0" applyFont="1" applyAlignment="1">
      <alignment horizontal="center" vertical="center" wrapText="1"/>
    </xf>
    <xf numFmtId="0" fontId="3" fillId="0" borderId="3" xfId="0" applyFont="1" applyBorder="1" applyAlignment="1">
      <alignment horizontal="center" vertical="center" wrapText="1"/>
    </xf>
    <xf numFmtId="0" fontId="10" fillId="0" borderId="3" xfId="0" applyFont="1" applyBorder="1" applyAlignment="1">
      <alignment horizontal="center" vertical="center"/>
    </xf>
    <xf numFmtId="3" fontId="10" fillId="0" borderId="3" xfId="0" applyNumberFormat="1" applyFont="1" applyBorder="1" applyAlignment="1">
      <alignment horizontal="center" vertical="center"/>
    </xf>
    <xf numFmtId="3" fontId="10" fillId="3" borderId="3" xfId="0" applyNumberFormat="1" applyFont="1" applyFill="1" applyBorder="1" applyAlignment="1">
      <alignment horizontal="center" vertical="center" wrapText="1"/>
    </xf>
    <xf numFmtId="1" fontId="10" fillId="0" borderId="3" xfId="0" applyNumberFormat="1" applyFont="1" applyBorder="1" applyAlignment="1">
      <alignment horizontal="center" vertical="center" wrapText="1"/>
    </xf>
    <xf numFmtId="3"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3" fontId="7" fillId="5" borderId="3" xfId="0" applyNumberFormat="1" applyFont="1" applyFill="1" applyBorder="1" applyAlignment="1">
      <alignment horizontal="center" vertical="center" wrapText="1"/>
    </xf>
    <xf numFmtId="0" fontId="8" fillId="5" borderId="3" xfId="0" applyFont="1" applyFill="1" applyBorder="1" applyAlignment="1">
      <alignment horizontal="center" vertical="center"/>
    </xf>
    <xf numFmtId="3" fontId="8" fillId="5" borderId="3" xfId="0" applyNumberFormat="1" applyFont="1" applyFill="1" applyBorder="1" applyAlignment="1">
      <alignment horizontal="center" vertical="center"/>
    </xf>
    <xf numFmtId="3" fontId="8" fillId="5" borderId="3"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3" fontId="10" fillId="0" borderId="3" xfId="0" applyNumberFormat="1" applyFont="1" applyBorder="1" applyAlignment="1">
      <alignment horizontal="center" vertical="center" wrapText="1"/>
    </xf>
    <xf numFmtId="0" fontId="7" fillId="5" borderId="3" xfId="0" applyFont="1" applyFill="1" applyBorder="1" applyAlignment="1">
      <alignment horizontal="center" vertical="center" wrapText="1"/>
    </xf>
    <xf numFmtId="3" fontId="8" fillId="5" borderId="3" xfId="0" applyNumberFormat="1" applyFont="1" applyFill="1" applyBorder="1" applyAlignment="1">
      <alignment horizontal="center" vertical="center"/>
    </xf>
    <xf numFmtId="0" fontId="13" fillId="4" borderId="3" xfId="0" applyFont="1" applyFill="1" applyBorder="1" applyAlignment="1">
      <alignment horizontal="left" vertical="center" wrapText="1"/>
    </xf>
    <xf numFmtId="3" fontId="10" fillId="6" borderId="3"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13" fillId="4" borderId="7" xfId="0" applyFont="1" applyFill="1" applyBorder="1" applyAlignment="1">
      <alignment horizontal="left" vertical="center" wrapText="1"/>
    </xf>
    <xf numFmtId="0" fontId="13" fillId="4" borderId="7" xfId="0" applyFont="1" applyFill="1" applyBorder="1" applyAlignment="1">
      <alignment horizontal="center" vertical="center" wrapText="1"/>
    </xf>
    <xf numFmtId="3" fontId="13" fillId="4" borderId="7"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0" xfId="0" applyFont="1"/>
    <xf numFmtId="0" fontId="8" fillId="0" borderId="0" xfId="0" applyFont="1" applyAlignment="1">
      <alignment horizontal="center" vertical="center" wrapText="1"/>
    </xf>
    <xf numFmtId="0" fontId="18" fillId="4" borderId="3" xfId="0" applyFont="1" applyFill="1" applyBorder="1" applyAlignment="1">
      <alignment horizontal="left" vertical="center" wrapText="1"/>
    </xf>
    <xf numFmtId="0" fontId="18" fillId="4" borderId="3" xfId="0" applyFont="1" applyFill="1" applyBorder="1" applyAlignment="1">
      <alignment horizontal="center" vertical="center" wrapText="1"/>
    </xf>
    <xf numFmtId="3" fontId="18" fillId="4" borderId="3" xfId="0" applyNumberFormat="1" applyFont="1" applyFill="1" applyBorder="1" applyAlignment="1">
      <alignment horizontal="center" vertical="center" wrapText="1"/>
    </xf>
    <xf numFmtId="0" fontId="3" fillId="0" borderId="3" xfId="0" applyFont="1" applyBorder="1" applyAlignment="1">
      <alignment horizontal="center" vertical="center"/>
    </xf>
    <xf numFmtId="3" fontId="3" fillId="0" borderId="3" xfId="0" applyNumberFormat="1" applyFont="1" applyBorder="1" applyAlignment="1">
      <alignment horizontal="center" vertical="center"/>
    </xf>
    <xf numFmtId="3" fontId="3" fillId="0" borderId="3" xfId="0" applyNumberFormat="1" applyFont="1" applyBorder="1" applyAlignment="1">
      <alignment horizontal="center" vertical="center" wrapText="1"/>
    </xf>
    <xf numFmtId="3" fontId="3" fillId="0" borderId="0" xfId="0" applyNumberFormat="1" applyFont="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5" fillId="4" borderId="3" xfId="0" applyFont="1" applyFill="1" applyBorder="1" applyAlignment="1">
      <alignment horizontal="left" vertical="center" wrapText="1"/>
    </xf>
    <xf numFmtId="166" fontId="10" fillId="2" borderId="3" xfId="0" applyNumberFormat="1" applyFont="1" applyFill="1" applyBorder="1" applyAlignment="1">
      <alignment horizontal="center" vertical="center" wrapText="1"/>
    </xf>
    <xf numFmtId="0" fontId="14" fillId="0" borderId="0" xfId="0" applyFont="1" applyAlignment="1">
      <alignment horizontal="center" vertical="center" wrapText="1"/>
    </xf>
    <xf numFmtId="167" fontId="7" fillId="5" borderId="3" xfId="0" applyNumberFormat="1" applyFont="1" applyFill="1" applyBorder="1" applyAlignment="1">
      <alignment horizontal="center" vertical="center" wrapText="1"/>
    </xf>
    <xf numFmtId="0" fontId="4" fillId="4" borderId="3" xfId="0" applyFont="1" applyFill="1" applyBorder="1" applyAlignment="1">
      <alignment horizontal="left" vertical="center" wrapText="1"/>
    </xf>
    <xf numFmtId="166" fontId="13" fillId="4" borderId="3" xfId="0" applyNumberFormat="1" applyFont="1" applyFill="1" applyBorder="1" applyAlignment="1">
      <alignment horizontal="center" vertical="center" wrapText="1"/>
    </xf>
    <xf numFmtId="3" fontId="3" fillId="0" borderId="3" xfId="0" applyNumberFormat="1" applyFont="1" applyBorder="1" applyAlignment="1">
      <alignment horizontal="center" vertical="center" wrapText="1"/>
    </xf>
    <xf numFmtId="3" fontId="10" fillId="0" borderId="3" xfId="0" applyNumberFormat="1" applyFont="1" applyBorder="1" applyAlignment="1">
      <alignment horizontal="center" vertical="center" shrinkToFit="1"/>
    </xf>
    <xf numFmtId="3" fontId="10" fillId="0" borderId="3" xfId="0" applyNumberFormat="1" applyFont="1" applyBorder="1" applyAlignment="1">
      <alignment horizontal="center" vertical="center" shrinkToFit="1"/>
    </xf>
    <xf numFmtId="3" fontId="3" fillId="0" borderId="3" xfId="0" applyNumberFormat="1" applyFont="1" applyBorder="1" applyAlignment="1">
      <alignment horizontal="center" vertical="center" wrapText="1"/>
    </xf>
    <xf numFmtId="0" fontId="3"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3" fontId="10" fillId="0" borderId="3" xfId="0" applyNumberFormat="1" applyFont="1" applyBorder="1" applyAlignment="1">
      <alignment horizontal="center" vertical="center" wrapText="1"/>
    </xf>
    <xf numFmtId="3" fontId="7" fillId="5" borderId="3" xfId="0" applyNumberFormat="1" applyFont="1" applyFill="1" applyBorder="1" applyAlignment="1">
      <alignment horizontal="center" vertical="center" wrapText="1"/>
    </xf>
    <xf numFmtId="0" fontId="19" fillId="0" borderId="0" xfId="0" applyFont="1" applyAlignment="1">
      <alignment horizontal="center" vertical="center" wrapText="1"/>
    </xf>
    <xf numFmtId="0" fontId="3" fillId="0" borderId="0" xfId="0" applyFont="1" applyAlignment="1">
      <alignment horizontal="center"/>
    </xf>
    <xf numFmtId="0" fontId="3" fillId="0" borderId="3" xfId="0" applyFont="1" applyBorder="1" applyAlignment="1">
      <alignment horizontal="center" vertical="center" wrapText="1"/>
    </xf>
    <xf numFmtId="0" fontId="7"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3" fontId="7" fillId="7" borderId="3" xfId="0" applyNumberFormat="1" applyFont="1" applyFill="1" applyBorder="1" applyAlignment="1">
      <alignment horizontal="center" vertical="center" wrapText="1"/>
    </xf>
    <xf numFmtId="3" fontId="7" fillId="8" borderId="3" xfId="0" applyNumberFormat="1" applyFont="1" applyFill="1" applyBorder="1" applyAlignment="1">
      <alignment horizontal="center" vertical="center"/>
    </xf>
    <xf numFmtId="3" fontId="7" fillId="8" borderId="3" xfId="0" applyNumberFormat="1" applyFont="1" applyFill="1" applyBorder="1" applyAlignment="1">
      <alignment horizontal="center" vertical="center" wrapText="1"/>
    </xf>
    <xf numFmtId="0" fontId="7" fillId="0" borderId="0" xfId="0" applyFont="1" applyAlignment="1">
      <alignment horizontal="center"/>
    </xf>
    <xf numFmtId="0" fontId="7" fillId="8" borderId="3" xfId="0" applyFont="1" applyFill="1" applyBorder="1" applyAlignment="1">
      <alignment horizontal="center" vertical="center" wrapText="1"/>
    </xf>
    <xf numFmtId="0" fontId="7" fillId="8" borderId="3" xfId="0" applyFont="1" applyFill="1" applyBorder="1" applyAlignment="1">
      <alignment horizontal="center" vertical="center"/>
    </xf>
    <xf numFmtId="0" fontId="20" fillId="8" borderId="3" xfId="0" applyFont="1" applyFill="1" applyBorder="1" applyAlignment="1">
      <alignment horizontal="center" vertical="center"/>
    </xf>
    <xf numFmtId="168" fontId="19" fillId="0" borderId="0" xfId="0" applyNumberFormat="1" applyFont="1" applyAlignment="1">
      <alignment horizontal="center" vertical="center" wrapText="1"/>
    </xf>
    <xf numFmtId="168" fontId="3"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9" fillId="0" borderId="0" xfId="0" applyFont="1"/>
    <xf numFmtId="0" fontId="3" fillId="0" borderId="0" xfId="0" applyFont="1"/>
    <xf numFmtId="3" fontId="10" fillId="0" borderId="3" xfId="0" applyNumberFormat="1" applyFont="1" applyBorder="1" applyAlignment="1">
      <alignment horizontal="center" vertical="center" wrapText="1"/>
    </xf>
    <xf numFmtId="0" fontId="3" fillId="0" borderId="0" xfId="0" applyFont="1" applyAlignment="1">
      <alignment horizontal="center" vertical="center"/>
    </xf>
    <xf numFmtId="3" fontId="3" fillId="0" borderId="0" xfId="0" applyNumberFormat="1" applyFont="1" applyAlignment="1">
      <alignment horizontal="center" vertical="center"/>
    </xf>
    <xf numFmtId="167" fontId="3" fillId="0" borderId="0" xfId="0" applyNumberFormat="1" applyFont="1" applyAlignment="1">
      <alignment horizontal="center" vertical="center"/>
    </xf>
    <xf numFmtId="3" fontId="7" fillId="5" borderId="3" xfId="0" applyNumberFormat="1" applyFont="1" applyFill="1" applyBorder="1" applyAlignment="1">
      <alignment horizontal="center" vertical="center"/>
    </xf>
    <xf numFmtId="0" fontId="15" fillId="0" borderId="0" xfId="0" applyFont="1" applyAlignment="1">
      <alignment horizontal="center" vertical="center" wrapText="1"/>
    </xf>
    <xf numFmtId="3" fontId="21" fillId="0" borderId="0" xfId="0" applyNumberFormat="1" applyFont="1" applyAlignment="1">
      <alignment horizontal="center" vertical="center" wrapText="1"/>
    </xf>
    <xf numFmtId="3" fontId="18" fillId="4" borderId="3" xfId="0" applyNumberFormat="1" applyFont="1" applyFill="1" applyBorder="1" applyAlignment="1">
      <alignment horizontal="left" vertical="center" wrapText="1"/>
    </xf>
    <xf numFmtId="3" fontId="3" fillId="2" borderId="3"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8" fillId="0" borderId="3"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3" fontId="7" fillId="0" borderId="0" xfId="0" applyNumberFormat="1" applyFont="1" applyAlignment="1">
      <alignment horizontal="center" vertical="center" wrapText="1"/>
    </xf>
    <xf numFmtId="3" fontId="7" fillId="5" borderId="3" xfId="0" applyNumberFormat="1" applyFont="1" applyFill="1" applyBorder="1" applyAlignment="1">
      <alignment horizontal="center" vertical="center" wrapText="1"/>
    </xf>
    <xf numFmtId="3" fontId="3" fillId="5" borderId="3" xfId="0" applyNumberFormat="1" applyFont="1" applyFill="1" applyBorder="1" applyAlignment="1">
      <alignment horizontal="center" vertical="center" wrapText="1"/>
    </xf>
    <xf numFmtId="0" fontId="18" fillId="4" borderId="2" xfId="0" applyFont="1" applyFill="1" applyBorder="1" applyAlignment="1">
      <alignment horizontal="left" vertical="center" wrapText="1"/>
    </xf>
    <xf numFmtId="0" fontId="18" fillId="4" borderId="2" xfId="0" applyFont="1" applyFill="1" applyBorder="1" applyAlignment="1">
      <alignment horizontal="center" vertical="center" wrapText="1"/>
    </xf>
    <xf numFmtId="3" fontId="13" fillId="4" borderId="2" xfId="0" applyNumberFormat="1" applyFont="1" applyFill="1" applyBorder="1" applyAlignment="1">
      <alignment horizontal="center" vertical="center" wrapText="1"/>
    </xf>
    <xf numFmtId="3" fontId="18"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7" fillId="5" borderId="2" xfId="0" applyFont="1" applyFill="1" applyBorder="1" applyAlignment="1">
      <alignment horizontal="center" vertical="center" wrapText="1"/>
    </xf>
    <xf numFmtId="3" fontId="7" fillId="5"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6" fillId="0" borderId="0" xfId="0" applyFont="1"/>
    <xf numFmtId="0" fontId="18" fillId="4" borderId="3" xfId="0" applyFont="1" applyFill="1" applyBorder="1" applyAlignment="1">
      <alignment horizontal="left" vertical="center" wrapText="1"/>
    </xf>
    <xf numFmtId="166" fontId="3" fillId="0" borderId="3" xfId="0" applyNumberFormat="1" applyFont="1" applyBorder="1" applyAlignment="1">
      <alignment horizontal="center" vertical="center" wrapText="1"/>
    </xf>
    <xf numFmtId="166" fontId="3" fillId="0" borderId="3" xfId="0" applyNumberFormat="1" applyFont="1" applyBorder="1" applyAlignment="1">
      <alignment horizontal="center" vertical="center" wrapText="1"/>
    </xf>
    <xf numFmtId="0" fontId="7" fillId="0" borderId="0" xfId="0" applyFont="1" applyAlignment="1">
      <alignment horizontal="center" vertical="center"/>
    </xf>
    <xf numFmtId="0" fontId="7" fillId="5" borderId="3" xfId="0" applyFont="1" applyFill="1" applyBorder="1" applyAlignment="1">
      <alignment horizontal="center" vertical="center"/>
    </xf>
    <xf numFmtId="0" fontId="10" fillId="0" borderId="3" xfId="0" applyFont="1" applyBorder="1" applyAlignment="1">
      <alignment horizontal="center" vertical="center"/>
    </xf>
    <xf numFmtId="166" fontId="10" fillId="0" borderId="3" xfId="0" applyNumberFormat="1" applyFont="1" applyBorder="1" applyAlignment="1">
      <alignment horizontal="center" vertical="center"/>
    </xf>
    <xf numFmtId="0" fontId="3" fillId="0" borderId="3" xfId="0" applyFont="1" applyBorder="1" applyAlignment="1">
      <alignment horizontal="center" vertical="center"/>
    </xf>
    <xf numFmtId="0" fontId="15" fillId="0" borderId="0" xfId="0" applyFont="1" applyAlignment="1">
      <alignment vertical="center"/>
    </xf>
    <xf numFmtId="0" fontId="18" fillId="4" borderId="7" xfId="0" applyFont="1" applyFill="1" applyBorder="1" applyAlignment="1">
      <alignment horizontal="left" vertical="center" wrapText="1"/>
    </xf>
    <xf numFmtId="0" fontId="18" fillId="4" borderId="7" xfId="0" applyFont="1" applyFill="1" applyBorder="1" applyAlignment="1">
      <alignment horizontal="center" vertical="center" wrapText="1"/>
    </xf>
    <xf numFmtId="0" fontId="22" fillId="0" borderId="0" xfId="0" applyFont="1"/>
    <xf numFmtId="3" fontId="3" fillId="0" borderId="0" xfId="0" applyNumberFormat="1" applyFont="1"/>
    <xf numFmtId="166" fontId="3" fillId="0" borderId="3" xfId="0" applyNumberFormat="1" applyFont="1" applyBorder="1" applyAlignment="1">
      <alignment horizontal="center" vertical="center" wrapText="1"/>
    </xf>
    <xf numFmtId="166" fontId="13" fillId="4" borderId="7" xfId="0" applyNumberFormat="1" applyFont="1" applyFill="1" applyBorder="1" applyAlignment="1">
      <alignment horizontal="left" vertical="center" wrapText="1"/>
    </xf>
    <xf numFmtId="166" fontId="13" fillId="4" borderId="7" xfId="0" applyNumberFormat="1" applyFont="1" applyFill="1" applyBorder="1" applyAlignment="1">
      <alignment horizontal="center" vertical="center" wrapText="1"/>
    </xf>
    <xf numFmtId="166" fontId="10" fillId="0" borderId="3" xfId="0" applyNumberFormat="1" applyFont="1" applyBorder="1" applyAlignment="1">
      <alignment horizontal="center" vertical="center"/>
    </xf>
    <xf numFmtId="3" fontId="3" fillId="0" borderId="3" xfId="0" applyNumberFormat="1" applyFont="1" applyBorder="1" applyAlignment="1">
      <alignment horizontal="center" vertical="center"/>
    </xf>
    <xf numFmtId="3" fontId="10" fillId="0" borderId="3" xfId="0" applyNumberFormat="1" applyFont="1" applyBorder="1" applyAlignment="1">
      <alignment horizontal="center" vertical="center"/>
    </xf>
    <xf numFmtId="166" fontId="10" fillId="0" borderId="3" xfId="0" applyNumberFormat="1" applyFont="1" applyBorder="1" applyAlignment="1">
      <alignment horizontal="center" vertical="center"/>
    </xf>
    <xf numFmtId="166" fontId="10" fillId="0" borderId="3" xfId="0" applyNumberFormat="1" applyFont="1" applyBorder="1" applyAlignment="1">
      <alignment horizontal="center" vertical="center" wrapText="1"/>
    </xf>
    <xf numFmtId="166" fontId="8" fillId="5" borderId="3" xfId="0" applyNumberFormat="1" applyFont="1" applyFill="1" applyBorder="1" applyAlignment="1">
      <alignment horizontal="center" vertical="center"/>
    </xf>
    <xf numFmtId="166" fontId="10" fillId="0" borderId="3" xfId="0" applyNumberFormat="1" applyFont="1" applyBorder="1" applyAlignment="1">
      <alignment horizontal="center" vertical="center"/>
    </xf>
    <xf numFmtId="166" fontId="10" fillId="0" borderId="3" xfId="0" applyNumberFormat="1" applyFont="1" applyBorder="1" applyAlignment="1">
      <alignment horizontal="center" vertical="center" wrapText="1"/>
    </xf>
    <xf numFmtId="3" fontId="10" fillId="0" borderId="3" xfId="0" applyNumberFormat="1" applyFont="1" applyBorder="1" applyAlignment="1">
      <alignment horizontal="center" vertical="center"/>
    </xf>
    <xf numFmtId="0" fontId="3" fillId="0" borderId="0" xfId="0" applyFont="1" applyAlignment="1">
      <alignment vertical="center"/>
    </xf>
    <xf numFmtId="0" fontId="7" fillId="0" borderId="3" xfId="0" applyFont="1" applyBorder="1" applyAlignment="1">
      <alignment horizontal="center" vertical="center"/>
    </xf>
    <xf numFmtId="166" fontId="7" fillId="5" borderId="3" xfId="0" applyNumberFormat="1" applyFont="1" applyFill="1" applyBorder="1" applyAlignment="1">
      <alignment horizontal="center" vertical="center"/>
    </xf>
    <xf numFmtId="0" fontId="23" fillId="0" borderId="0" xfId="0" applyFont="1" applyAlignment="1">
      <alignment horizontal="center" vertical="center" wrapText="1"/>
    </xf>
    <xf numFmtId="169" fontId="8" fillId="0" borderId="0" xfId="0" applyNumberFormat="1" applyFont="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169" fontId="25" fillId="0" borderId="0" xfId="0" applyNumberFormat="1" applyFont="1" applyAlignment="1">
      <alignment horizontal="center" vertical="center" wrapText="1"/>
    </xf>
    <xf numFmtId="0" fontId="26" fillId="0" borderId="0" xfId="0" applyFont="1" applyAlignment="1">
      <alignment horizontal="center" vertical="center" wrapText="1"/>
    </xf>
    <xf numFmtId="169" fontId="10" fillId="0" borderId="0" xfId="0" applyNumberFormat="1" applyFont="1" applyAlignment="1">
      <alignment horizontal="center" vertical="center" wrapText="1"/>
    </xf>
    <xf numFmtId="0" fontId="10" fillId="0" borderId="3" xfId="0" applyFont="1" applyBorder="1" applyAlignment="1">
      <alignment horizontal="center" vertical="top" wrapText="1"/>
    </xf>
    <xf numFmtId="0" fontId="8" fillId="5" borderId="3" xfId="0" applyFont="1" applyFill="1" applyBorder="1" applyAlignment="1">
      <alignment horizontal="center" vertical="top" wrapText="1"/>
    </xf>
    <xf numFmtId="0" fontId="10" fillId="0" borderId="3" xfId="0" applyFont="1" applyBorder="1" applyAlignment="1">
      <alignment horizontal="center" vertical="center" wrapText="1"/>
    </xf>
    <xf numFmtId="3" fontId="27" fillId="5" borderId="3" xfId="0" applyNumberFormat="1" applyFont="1" applyFill="1" applyBorder="1" applyAlignment="1">
      <alignment horizontal="center" vertical="center" wrapText="1"/>
    </xf>
    <xf numFmtId="166" fontId="18" fillId="4" borderId="3" xfId="0" applyNumberFormat="1" applyFont="1" applyFill="1" applyBorder="1" applyAlignment="1">
      <alignment horizontal="center" vertical="center" wrapText="1"/>
    </xf>
    <xf numFmtId="0" fontId="28" fillId="0" borderId="3" xfId="0" applyFont="1" applyBorder="1" applyAlignment="1">
      <alignment horizontal="center" vertical="center" wrapText="1"/>
    </xf>
    <xf numFmtId="3" fontId="10" fillId="0" borderId="2" xfId="0" applyNumberFormat="1" applyFont="1" applyBorder="1" applyAlignment="1">
      <alignment horizontal="center" vertical="center" wrapText="1"/>
    </xf>
    <xf numFmtId="0" fontId="12" fillId="0" borderId="0" xfId="0" applyFont="1"/>
    <xf numFmtId="0" fontId="3" fillId="0" borderId="0" xfId="0" applyFont="1" applyAlignment="1">
      <alignment vertical="center" wrapText="1"/>
    </xf>
    <xf numFmtId="0" fontId="10" fillId="3" borderId="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5" borderId="3" xfId="0" applyFont="1" applyFill="1" applyBorder="1" applyAlignment="1">
      <alignment horizontal="center" vertical="center" wrapText="1"/>
    </xf>
    <xf numFmtId="165" fontId="10" fillId="0" borderId="3" xfId="0" applyNumberFormat="1" applyFont="1" applyBorder="1" applyAlignment="1">
      <alignment horizontal="center" vertical="center" shrinkToFit="1"/>
    </xf>
    <xf numFmtId="165" fontId="10" fillId="0" borderId="3" xfId="0" applyNumberFormat="1" applyFont="1" applyBorder="1" applyAlignment="1">
      <alignment horizontal="center" vertical="center" wrapText="1"/>
    </xf>
    <xf numFmtId="165" fontId="8" fillId="5" borderId="3" xfId="0" applyNumberFormat="1" applyFont="1" applyFill="1" applyBorder="1" applyAlignment="1">
      <alignment horizontal="center" vertical="center" shrinkToFit="1"/>
    </xf>
    <xf numFmtId="3" fontId="8" fillId="5" borderId="3" xfId="0" applyNumberFormat="1" applyFont="1" applyFill="1" applyBorder="1" applyAlignment="1">
      <alignment horizontal="center" vertical="center" shrinkToFit="1"/>
    </xf>
    <xf numFmtId="0" fontId="13" fillId="4" borderId="2"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3" fontId="8"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3" fontId="13" fillId="4" borderId="3" xfId="0" applyNumberFormat="1" applyFont="1" applyFill="1" applyBorder="1" applyAlignment="1">
      <alignment horizontal="center" vertical="center"/>
    </xf>
    <xf numFmtId="3" fontId="18" fillId="4" borderId="3" xfId="0" applyNumberFormat="1" applyFont="1" applyFill="1" applyBorder="1" applyAlignment="1">
      <alignment horizontal="center" vertical="center"/>
    </xf>
    <xf numFmtId="0" fontId="29" fillId="0" borderId="0" xfId="0" applyFont="1" applyAlignment="1">
      <alignment horizontal="center" vertical="center" wrapText="1"/>
    </xf>
    <xf numFmtId="3" fontId="8" fillId="0" borderId="0" xfId="0" applyNumberFormat="1" applyFont="1" applyAlignment="1">
      <alignment horizontal="center" vertical="center" wrapText="1"/>
    </xf>
    <xf numFmtId="167" fontId="13" fillId="4" borderId="3" xfId="0" applyNumberFormat="1" applyFont="1" applyFill="1" applyBorder="1" applyAlignment="1">
      <alignment horizontal="center" vertical="center" wrapText="1"/>
    </xf>
    <xf numFmtId="0" fontId="4" fillId="4" borderId="3" xfId="0" applyFont="1" applyFill="1" applyBorder="1" applyAlignment="1">
      <alignment horizontal="left" vertical="center" wrapText="1"/>
    </xf>
    <xf numFmtId="3" fontId="13" fillId="4" borderId="3" xfId="0" applyNumberFormat="1" applyFont="1" applyFill="1" applyBorder="1" applyAlignment="1">
      <alignment horizontal="center" vertical="center" wrapText="1"/>
    </xf>
    <xf numFmtId="166" fontId="18" fillId="4" borderId="3" xfId="0" applyNumberFormat="1" applyFont="1" applyFill="1" applyBorder="1" applyAlignment="1">
      <alignment horizontal="center" vertical="center" wrapText="1"/>
    </xf>
    <xf numFmtId="166" fontId="13" fillId="4" borderId="3" xfId="0" applyNumberFormat="1" applyFont="1" applyFill="1" applyBorder="1" applyAlignment="1">
      <alignment horizontal="center" vertical="center" wrapText="1"/>
    </xf>
    <xf numFmtId="0" fontId="30" fillId="4" borderId="3" xfId="0" applyFont="1" applyFill="1" applyBorder="1" applyAlignment="1">
      <alignment horizontal="left" vertical="center" wrapText="1"/>
    </xf>
    <xf numFmtId="3" fontId="13" fillId="4" borderId="3" xfId="0" applyNumberFormat="1" applyFont="1" applyFill="1" applyBorder="1" applyAlignment="1">
      <alignment horizontal="center" vertical="center" wrapText="1"/>
    </xf>
    <xf numFmtId="0" fontId="10" fillId="0" borderId="3" xfId="0" applyFont="1" applyBorder="1" applyAlignment="1">
      <alignment horizontal="center" vertical="center"/>
    </xf>
    <xf numFmtId="3" fontId="10" fillId="0" borderId="3" xfId="0" applyNumberFormat="1" applyFont="1" applyBorder="1" applyAlignment="1">
      <alignment horizontal="center" vertical="center"/>
    </xf>
    <xf numFmtId="0" fontId="10" fillId="0" borderId="3" xfId="0" applyFont="1" applyBorder="1" applyAlignment="1">
      <alignment horizontal="center" vertical="center"/>
    </xf>
    <xf numFmtId="0" fontId="12" fillId="0" borderId="3" xfId="0" applyFont="1" applyBorder="1"/>
    <xf numFmtId="0" fontId="7" fillId="8" borderId="3" xfId="0" applyFont="1" applyFill="1" applyBorder="1" applyAlignment="1">
      <alignment horizontal="center" vertical="center" wrapText="1"/>
    </xf>
    <xf numFmtId="0" fontId="12" fillId="8" borderId="3" xfId="0" applyFont="1" applyFill="1" applyBorder="1"/>
    <xf numFmtId="3" fontId="7" fillId="8" borderId="3" xfId="0" applyNumberFormat="1" applyFont="1" applyFill="1" applyBorder="1" applyAlignment="1">
      <alignment horizontal="center" vertical="center" wrapText="1"/>
    </xf>
    <xf numFmtId="0" fontId="31" fillId="4" borderId="3" xfId="0" applyFont="1" applyFill="1" applyBorder="1" applyAlignment="1">
      <alignment horizontal="left" vertical="center" wrapText="1"/>
    </xf>
    <xf numFmtId="0" fontId="31" fillId="4" borderId="3" xfId="0" applyFont="1" applyFill="1" applyBorder="1" applyAlignment="1">
      <alignment horizontal="center" vertical="center" wrapText="1"/>
    </xf>
    <xf numFmtId="3" fontId="31" fillId="4"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3" fontId="10" fillId="2"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xf numFmtId="3" fontId="3" fillId="2" borderId="3" xfId="0" applyNumberFormat="1" applyFont="1" applyFill="1" applyBorder="1" applyAlignment="1">
      <alignment horizontal="center" vertical="center" wrapText="1"/>
    </xf>
    <xf numFmtId="166" fontId="7" fillId="5" borderId="3" xfId="0" applyNumberFormat="1" applyFont="1" applyFill="1" applyBorder="1" applyAlignment="1">
      <alignment horizontal="center" vertical="center" wrapText="1"/>
    </xf>
    <xf numFmtId="0" fontId="19" fillId="0" borderId="0" xfId="0" applyFont="1" applyAlignment="1">
      <alignment horizontal="left" vertical="center"/>
    </xf>
    <xf numFmtId="0" fontId="32" fillId="0" borderId="0" xfId="0" applyFont="1" applyAlignment="1">
      <alignment horizontal="left" vertical="center"/>
    </xf>
    <xf numFmtId="0" fontId="32" fillId="0" borderId="0" xfId="0" applyFont="1"/>
    <xf numFmtId="0" fontId="15" fillId="0" borderId="3" xfId="0" applyFont="1" applyBorder="1"/>
    <xf numFmtId="0" fontId="33" fillId="0" borderId="3" xfId="0" applyFont="1" applyBorder="1"/>
    <xf numFmtId="43" fontId="10" fillId="0" borderId="0" xfId="0" applyNumberFormat="1" applyFont="1" applyAlignment="1">
      <alignment horizontal="center" vertical="center" wrapText="1"/>
    </xf>
    <xf numFmtId="3" fontId="3" fillId="3" borderId="3" xfId="0" applyNumberFormat="1" applyFont="1" applyFill="1" applyBorder="1" applyAlignment="1">
      <alignment horizontal="center" vertical="center" wrapText="1"/>
    </xf>
    <xf numFmtId="0" fontId="10" fillId="0" borderId="0" xfId="0" applyFont="1"/>
    <xf numFmtId="0" fontId="5" fillId="5" borderId="3" xfId="0" applyFont="1" applyFill="1" applyBorder="1" applyAlignment="1">
      <alignment horizontal="center" vertical="center" wrapText="1"/>
    </xf>
    <xf numFmtId="0" fontId="34"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3" fontId="8" fillId="5" borderId="3" xfId="0" applyNumberFormat="1"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1" xfId="0" applyFont="1" applyFill="1" applyBorder="1" applyAlignment="1">
      <alignment horizontal="center" vertical="center"/>
    </xf>
    <xf numFmtId="166" fontId="8" fillId="5" borderId="3" xfId="0" applyNumberFormat="1" applyFont="1" applyFill="1" applyBorder="1" applyAlignment="1">
      <alignment horizontal="center" vertical="center" wrapText="1"/>
    </xf>
    <xf numFmtId="165" fontId="8" fillId="5" borderId="3" xfId="0" applyNumberFormat="1" applyFont="1" applyFill="1" applyBorder="1" applyAlignment="1">
      <alignment horizontal="center" vertical="center" wrapText="1"/>
    </xf>
    <xf numFmtId="166" fontId="10" fillId="0" borderId="3" xfId="0" applyNumberFormat="1" applyFont="1" applyBorder="1" applyAlignment="1">
      <alignment horizontal="center" vertical="center" shrinkToFit="1"/>
    </xf>
    <xf numFmtId="165" fontId="10" fillId="3" borderId="3" xfId="0" applyNumberFormat="1" applyFont="1" applyFill="1" applyBorder="1" applyAlignment="1">
      <alignment horizontal="center" vertical="center" wrapText="1"/>
    </xf>
    <xf numFmtId="3" fontId="10" fillId="3" borderId="3" xfId="0" applyNumberFormat="1" applyFont="1" applyFill="1" applyBorder="1" applyAlignment="1">
      <alignment horizontal="center" vertical="center"/>
    </xf>
    <xf numFmtId="3" fontId="10" fillId="3" borderId="3" xfId="0" applyNumberFormat="1" applyFont="1" applyFill="1" applyBorder="1" applyAlignment="1">
      <alignment horizontal="center" vertical="center" shrinkToFit="1"/>
    </xf>
    <xf numFmtId="165" fontId="3" fillId="0" borderId="3" xfId="0" applyNumberFormat="1" applyFont="1" applyBorder="1" applyAlignment="1">
      <alignment wrapText="1"/>
    </xf>
    <xf numFmtId="165" fontId="3" fillId="0" borderId="3" xfId="0" applyNumberFormat="1" applyFont="1" applyBorder="1"/>
    <xf numFmtId="0" fontId="15" fillId="0" borderId="0" xfId="0" applyFont="1"/>
    <xf numFmtId="3" fontId="3" fillId="0" borderId="0" xfId="0" applyNumberFormat="1" applyFont="1" applyAlignment="1">
      <alignment horizontal="center" wrapText="1"/>
    </xf>
    <xf numFmtId="0" fontId="3" fillId="0" borderId="0" xfId="0" applyFont="1" applyAlignment="1">
      <alignment horizontal="center" wrapText="1"/>
    </xf>
    <xf numFmtId="166" fontId="18" fillId="4" borderId="7" xfId="0" applyNumberFormat="1" applyFont="1" applyFill="1" applyBorder="1" applyAlignment="1">
      <alignment horizontal="center" vertical="center" wrapText="1"/>
    </xf>
    <xf numFmtId="3" fontId="18" fillId="4" borderId="7" xfId="0" applyNumberFormat="1" applyFont="1" applyFill="1" applyBorder="1" applyAlignment="1">
      <alignment horizontal="center" vertical="center" wrapText="1"/>
    </xf>
    <xf numFmtId="170" fontId="10" fillId="0" borderId="3" xfId="0" applyNumberFormat="1" applyFont="1" applyBorder="1" applyAlignment="1">
      <alignment horizontal="center" vertical="center" shrinkToFit="1"/>
    </xf>
    <xf numFmtId="1" fontId="10" fillId="0" borderId="3" xfId="0" applyNumberFormat="1" applyFont="1" applyBorder="1" applyAlignment="1">
      <alignment horizontal="center" vertical="center" shrinkToFit="1"/>
    </xf>
    <xf numFmtId="170" fontId="8" fillId="5" borderId="3" xfId="0" applyNumberFormat="1" applyFont="1" applyFill="1" applyBorder="1" applyAlignment="1">
      <alignment horizontal="center" vertical="center" shrinkToFit="1"/>
    </xf>
    <xf numFmtId="1" fontId="8" fillId="5" borderId="3" xfId="0" applyNumberFormat="1" applyFont="1" applyFill="1" applyBorder="1" applyAlignment="1">
      <alignment horizontal="center" vertical="center" shrinkToFit="1"/>
    </xf>
    <xf numFmtId="1" fontId="8" fillId="5" borderId="3" xfId="0" applyNumberFormat="1" applyFont="1" applyFill="1" applyBorder="1" applyAlignment="1">
      <alignment horizontal="center" vertical="center" shrinkToFit="1"/>
    </xf>
    <xf numFmtId="0" fontId="35" fillId="0" borderId="0" xfId="0" applyFont="1"/>
    <xf numFmtId="0" fontId="36" fillId="0" borderId="0" xfId="0" applyFont="1"/>
    <xf numFmtId="0" fontId="8" fillId="0" borderId="3" xfId="0" applyFont="1" applyBorder="1" applyAlignment="1">
      <alignment horizontal="center" vertical="center" wrapText="1"/>
    </xf>
    <xf numFmtId="0" fontId="10" fillId="0" borderId="0" xfId="0" applyFont="1" applyAlignment="1">
      <alignment horizontal="center" vertical="center" wrapText="1"/>
    </xf>
    <xf numFmtId="166" fontId="10" fillId="0" borderId="3" xfId="0" applyNumberFormat="1" applyFont="1" applyBorder="1" applyAlignment="1">
      <alignment horizontal="center" vertical="center" wrapText="1"/>
    </xf>
    <xf numFmtId="0" fontId="15" fillId="0" borderId="0" xfId="0" applyFont="1" applyAlignment="1">
      <alignment horizontal="center" vertical="center"/>
    </xf>
    <xf numFmtId="0" fontId="3" fillId="5" borderId="3" xfId="0" applyFont="1" applyFill="1" applyBorder="1" applyAlignment="1">
      <alignment horizontal="center" vertical="center" wrapText="1"/>
    </xf>
    <xf numFmtId="0" fontId="18" fillId="4" borderId="3" xfId="0" applyFont="1" applyFill="1" applyBorder="1" applyAlignment="1">
      <alignment vertical="center" wrapText="1"/>
    </xf>
    <xf numFmtId="0" fontId="37" fillId="5" borderId="3" xfId="0" applyFont="1" applyFill="1" applyBorder="1" applyAlignment="1">
      <alignment horizontal="center" vertical="center"/>
    </xf>
    <xf numFmtId="16" fontId="7" fillId="5" borderId="3" xfId="0" applyNumberFormat="1" applyFont="1" applyFill="1" applyBorder="1" applyAlignment="1">
      <alignment horizontal="center" vertical="center" wrapText="1"/>
    </xf>
    <xf numFmtId="0" fontId="19" fillId="0" borderId="0" xfId="0" applyFont="1" applyAlignment="1">
      <alignment horizontal="center" vertical="center"/>
    </xf>
    <xf numFmtId="3" fontId="3" fillId="0" borderId="0" xfId="0" applyNumberFormat="1" applyFont="1" applyAlignment="1">
      <alignment horizontal="center"/>
    </xf>
    <xf numFmtId="0" fontId="19" fillId="0" borderId="0" xfId="0" applyFont="1" applyAlignment="1">
      <alignment horizontal="center"/>
    </xf>
    <xf numFmtId="0" fontId="38" fillId="0" borderId="3" xfId="0" applyFont="1" applyBorder="1" applyAlignment="1">
      <alignment horizontal="center" vertical="center" wrapText="1"/>
    </xf>
    <xf numFmtId="0" fontId="39" fillId="5" borderId="3" xfId="0" applyFont="1" applyFill="1" applyBorder="1" applyAlignment="1">
      <alignment horizontal="center" vertical="center" wrapText="1"/>
    </xf>
    <xf numFmtId="0" fontId="3" fillId="2" borderId="8" xfId="0" applyFont="1" applyFill="1" applyBorder="1"/>
    <xf numFmtId="0" fontId="43" fillId="0" borderId="0" xfId="0" applyFont="1" applyAlignment="1"/>
    <xf numFmtId="0" fontId="43" fillId="0" borderId="9" xfId="0"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0" fontId="43" fillId="0" borderId="0" xfId="0" applyFont="1" applyFill="1" applyAlignment="1"/>
    <xf numFmtId="164" fontId="43" fillId="0" borderId="9" xfId="0" applyNumberFormat="1" applyFont="1" applyFill="1" applyBorder="1" applyAlignment="1">
      <alignment horizontal="center" vertical="center" wrapText="1"/>
    </xf>
    <xf numFmtId="3" fontId="43" fillId="0" borderId="9" xfId="0" applyNumberFormat="1" applyFont="1" applyFill="1" applyBorder="1" applyAlignment="1">
      <alignment horizontal="center"/>
    </xf>
    <xf numFmtId="164" fontId="43" fillId="0" borderId="9" xfId="0" applyNumberFormat="1" applyFont="1" applyFill="1" applyBorder="1" applyAlignment="1">
      <alignment vertical="center" wrapText="1"/>
    </xf>
    <xf numFmtId="0" fontId="2" fillId="0" borderId="9" xfId="0" applyFont="1" applyFill="1" applyBorder="1" applyAlignment="1">
      <alignment vertical="center" wrapText="1"/>
    </xf>
    <xf numFmtId="166" fontId="43" fillId="0" borderId="9" xfId="0" applyNumberFormat="1" applyFont="1" applyFill="1" applyBorder="1" applyAlignment="1">
      <alignment horizontal="center" vertical="center" wrapText="1"/>
    </xf>
    <xf numFmtId="3" fontId="43" fillId="0" borderId="9" xfId="0" applyNumberFormat="1" applyFont="1" applyFill="1" applyBorder="1" applyAlignment="1">
      <alignment horizontal="center" vertical="center" wrapText="1"/>
    </xf>
    <xf numFmtId="0" fontId="46" fillId="0" borderId="0" xfId="0" applyFont="1" applyFill="1" applyAlignment="1"/>
    <xf numFmtId="0" fontId="46" fillId="9" borderId="9" xfId="0" applyFont="1" applyFill="1" applyBorder="1" applyAlignment="1">
      <alignment horizontal="center" vertical="center" wrapText="1"/>
    </xf>
    <xf numFmtId="164" fontId="45" fillId="9" borderId="9" xfId="0" applyNumberFormat="1" applyFont="1" applyFill="1" applyBorder="1" applyAlignment="1">
      <alignment horizontal="center" vertical="center" wrapText="1"/>
    </xf>
    <xf numFmtId="0" fontId="45" fillId="9" borderId="9" xfId="0" applyFont="1" applyFill="1" applyBorder="1" applyAlignment="1">
      <alignment horizontal="center" vertical="center" wrapText="1"/>
    </xf>
    <xf numFmtId="3" fontId="45" fillId="9" borderId="9" xfId="0" applyNumberFormat="1" applyFont="1" applyFill="1" applyBorder="1" applyAlignment="1">
      <alignment horizontal="center" vertical="center" wrapText="1"/>
    </xf>
    <xf numFmtId="0" fontId="45" fillId="10" borderId="9" xfId="0" applyFont="1" applyFill="1" applyBorder="1" applyAlignment="1">
      <alignment horizontal="center" vertical="center" wrapText="1"/>
    </xf>
    <xf numFmtId="164" fontId="45" fillId="10" borderId="9" xfId="0" applyNumberFormat="1" applyFont="1" applyFill="1" applyBorder="1" applyAlignment="1">
      <alignment horizontal="center" vertical="center" wrapText="1"/>
    </xf>
    <xf numFmtId="3" fontId="45" fillId="10" borderId="9" xfId="0" applyNumberFormat="1" applyFont="1" applyFill="1" applyBorder="1" applyAlignment="1">
      <alignment horizontal="center" vertical="center" wrapText="1"/>
    </xf>
    <xf numFmtId="166" fontId="46" fillId="10" borderId="9" xfId="0" applyNumberFormat="1" applyFont="1" applyFill="1" applyBorder="1" applyAlignment="1">
      <alignment horizontal="center" vertical="center" wrapText="1"/>
    </xf>
    <xf numFmtId="3" fontId="46" fillId="10" borderId="9" xfId="0" applyNumberFormat="1" applyFont="1" applyFill="1" applyBorder="1" applyAlignment="1">
      <alignment horizontal="center" vertical="center" wrapText="1"/>
    </xf>
    <xf numFmtId="0" fontId="45" fillId="10" borderId="9" xfId="0" applyFont="1" applyFill="1" applyBorder="1" applyAlignment="1">
      <alignment vertical="center" wrapText="1"/>
    </xf>
    <xf numFmtId="164" fontId="1" fillId="0" borderId="9" xfId="0" applyNumberFormat="1" applyFont="1" applyFill="1" applyBorder="1" applyAlignment="1">
      <alignment horizontal="center" vertical="center" wrapText="1"/>
    </xf>
    <xf numFmtId="0" fontId="18" fillId="11" borderId="3" xfId="0" applyFont="1" applyFill="1" applyBorder="1" applyAlignment="1">
      <alignment horizontal="left" vertical="center" wrapText="1"/>
    </xf>
    <xf numFmtId="0" fontId="18" fillId="11" borderId="3" xfId="0" applyFont="1" applyFill="1" applyBorder="1" applyAlignment="1">
      <alignment horizontal="center" vertical="center" wrapText="1"/>
    </xf>
    <xf numFmtId="166" fontId="13" fillId="11" borderId="3" xfId="0" applyNumberFormat="1" applyFont="1" applyFill="1" applyBorder="1" applyAlignment="1">
      <alignment horizontal="center" vertical="center" wrapText="1"/>
    </xf>
    <xf numFmtId="166" fontId="18" fillId="11" borderId="3" xfId="0" applyNumberFormat="1" applyFont="1" applyFill="1" applyBorder="1" applyAlignment="1">
      <alignment horizontal="center" vertical="center" wrapText="1"/>
    </xf>
    <xf numFmtId="3" fontId="18" fillId="11" borderId="3" xfId="0" applyNumberFormat="1" applyFont="1" applyFill="1" applyBorder="1" applyAlignment="1">
      <alignment horizontal="center" vertical="center" wrapText="1"/>
    </xf>
    <xf numFmtId="0" fontId="13" fillId="12" borderId="3" xfId="0" applyFont="1" applyFill="1" applyBorder="1" applyAlignment="1">
      <alignment horizontal="left" vertical="center" wrapText="1"/>
    </xf>
    <xf numFmtId="0" fontId="13" fillId="12" borderId="3" xfId="0" applyFont="1" applyFill="1" applyBorder="1" applyAlignment="1">
      <alignment horizontal="center" vertical="center" wrapText="1"/>
    </xf>
    <xf numFmtId="167" fontId="13" fillId="12" borderId="3" xfId="0" applyNumberFormat="1" applyFont="1" applyFill="1" applyBorder="1" applyAlignment="1">
      <alignment horizontal="center" vertical="center" wrapText="1"/>
    </xf>
    <xf numFmtId="0" fontId="18" fillId="12" borderId="2" xfId="0" applyFont="1" applyFill="1" applyBorder="1" applyAlignment="1">
      <alignment horizontal="left" vertical="center" wrapText="1"/>
    </xf>
    <xf numFmtId="0" fontId="18" fillId="12" borderId="2" xfId="0"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8" fillId="12" borderId="2" xfId="0" applyNumberFormat="1" applyFont="1" applyFill="1" applyBorder="1" applyAlignment="1">
      <alignment horizontal="center" vertical="center" wrapText="1"/>
    </xf>
    <xf numFmtId="0" fontId="0" fillId="13" borderId="0" xfId="0" applyFill="1"/>
    <xf numFmtId="0" fontId="47" fillId="13" borderId="0" xfId="0" applyFont="1" applyFill="1"/>
    <xf numFmtId="0" fontId="48" fillId="13" borderId="0" xfId="0" applyFont="1" applyFill="1"/>
    <xf numFmtId="0" fontId="49" fillId="13" borderId="0" xfId="0" applyFont="1" applyFill="1"/>
    <xf numFmtId="0" fontId="50" fillId="13" borderId="0" xfId="0" applyFont="1" applyFill="1"/>
    <xf numFmtId="0" fontId="50" fillId="13" borderId="0" xfId="0" quotePrefix="1" applyFont="1" applyFill="1"/>
    <xf numFmtId="0" fontId="41" fillId="14" borderId="9" xfId="0" applyFont="1" applyFill="1" applyBorder="1" applyAlignment="1">
      <alignment horizontal="center" vertical="center" wrapText="1"/>
    </xf>
    <xf numFmtId="164" fontId="42" fillId="14" borderId="9" xfId="0" applyNumberFormat="1" applyFont="1" applyFill="1" applyBorder="1" applyAlignment="1">
      <alignment horizontal="center" vertical="center" wrapText="1"/>
    </xf>
    <xf numFmtId="164" fontId="41" fillId="14" borderId="9" xfId="0" applyNumberFormat="1" applyFont="1" applyFill="1" applyBorder="1" applyAlignment="1">
      <alignment horizontal="center" vertical="center" wrapText="1"/>
    </xf>
    <xf numFmtId="164" fontId="42" fillId="15" borderId="9" xfId="0" applyNumberFormat="1" applyFont="1" applyFill="1" applyBorder="1" applyAlignment="1">
      <alignment horizontal="center" vertical="center" wrapText="1"/>
    </xf>
    <xf numFmtId="3" fontId="42" fillId="14" borderId="9" xfId="0" applyNumberFormat="1" applyFont="1" applyFill="1" applyBorder="1" applyAlignment="1">
      <alignment horizontal="center" vertical="center" wrapText="1"/>
    </xf>
    <xf numFmtId="3" fontId="41" fillId="14" borderId="9" xfId="0" applyNumberFormat="1" applyFont="1" applyFill="1" applyBorder="1" applyAlignment="1">
      <alignment horizontal="center" vertical="center" wrapText="1"/>
    </xf>
    <xf numFmtId="0" fontId="10" fillId="0" borderId="4" xfId="0" applyFont="1" applyBorder="1" applyAlignment="1">
      <alignment horizontal="left" vertical="center" wrapText="1"/>
    </xf>
    <xf numFmtId="0" fontId="17" fillId="0" borderId="5" xfId="0" applyFont="1" applyBorder="1"/>
    <xf numFmtId="0" fontId="17" fillId="0" borderId="6" xfId="0" applyFont="1" applyBorder="1"/>
    <xf numFmtId="0" fontId="3"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2A5DB0"/>
      <color rgb="FF000C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6.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5.png"/><Relationship Id="rId16" Type="http://schemas.openxmlformats.org/officeDocument/2006/relationships/image" Target="../media/image18.png"/><Relationship Id="rId1" Type="http://schemas.openxmlformats.org/officeDocument/2006/relationships/image" Target="../media/image4.png"/><Relationship Id="rId6" Type="http://schemas.openxmlformats.org/officeDocument/2006/relationships/image" Target="../media/image3.png"/><Relationship Id="rId11" Type="http://schemas.openxmlformats.org/officeDocument/2006/relationships/image" Target="../media/image13.png"/><Relationship Id="rId5" Type="http://schemas.openxmlformats.org/officeDocument/2006/relationships/image" Target="../media/image8.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7.png"/><Relationship Id="rId9" Type="http://schemas.openxmlformats.org/officeDocument/2006/relationships/image" Target="../media/image11.png"/><Relationship Id="rId14" Type="http://schemas.openxmlformats.org/officeDocument/2006/relationships/image" Target="../media/image16.png"/></Relationships>
</file>

<file path=xl/drawings/_rels/drawing4.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6.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5.png"/><Relationship Id="rId16" Type="http://schemas.openxmlformats.org/officeDocument/2006/relationships/image" Target="../media/image18.png"/><Relationship Id="rId1" Type="http://schemas.openxmlformats.org/officeDocument/2006/relationships/image" Target="../media/image4.png"/><Relationship Id="rId6" Type="http://schemas.openxmlformats.org/officeDocument/2006/relationships/image" Target="../media/image3.png"/><Relationship Id="rId11" Type="http://schemas.openxmlformats.org/officeDocument/2006/relationships/image" Target="../media/image13.png"/><Relationship Id="rId5" Type="http://schemas.openxmlformats.org/officeDocument/2006/relationships/image" Target="../media/image8.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7.png"/><Relationship Id="rId9" Type="http://schemas.openxmlformats.org/officeDocument/2006/relationships/image" Target="../media/image11.png"/><Relationship Id="rId1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2</xdr:row>
      <xdr:rowOff>53340</xdr:rowOff>
    </xdr:from>
    <xdr:to>
      <xdr:col>12</xdr:col>
      <xdr:colOff>256944</xdr:colOff>
      <xdr:row>19</xdr:row>
      <xdr:rowOff>91440</xdr:rowOff>
    </xdr:to>
    <xdr:pic>
      <xdr:nvPicPr>
        <xdr:cNvPr id="4" name="Picture 3">
          <a:extLst>
            <a:ext uri="{FF2B5EF4-FFF2-40B4-BE49-F238E27FC236}">
              <a16:creationId xmlns:a16="http://schemas.microsoft.com/office/drawing/2014/main" id="{57981432-1094-40F9-ADE9-302BE12E9B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403860"/>
          <a:ext cx="7556904" cy="3954780"/>
        </a:xfrm>
        <a:prstGeom prst="rect">
          <a:avLst/>
        </a:prstGeom>
      </xdr:spPr>
    </xdr:pic>
    <xdr:clientData/>
  </xdr:twoCellAnchor>
  <xdr:twoCellAnchor editAs="oneCell">
    <xdr:from>
      <xdr:col>13</xdr:col>
      <xdr:colOff>579120</xdr:colOff>
      <xdr:row>1</xdr:row>
      <xdr:rowOff>38100</xdr:rowOff>
    </xdr:from>
    <xdr:to>
      <xdr:col>20</xdr:col>
      <xdr:colOff>158259</xdr:colOff>
      <xdr:row>4</xdr:row>
      <xdr:rowOff>15240</xdr:rowOff>
    </xdr:to>
    <xdr:pic>
      <xdr:nvPicPr>
        <xdr:cNvPr id="7" name="Picture 6">
          <a:extLst>
            <a:ext uri="{FF2B5EF4-FFF2-40B4-BE49-F238E27FC236}">
              <a16:creationId xmlns:a16="http://schemas.microsoft.com/office/drawing/2014/main" id="{64CAD2E9-1CE6-4503-BB70-2B9A5D3778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93480" y="213360"/>
          <a:ext cx="3800619" cy="64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584</xdr:row>
      <xdr:rowOff>0</xdr:rowOff>
    </xdr:from>
    <xdr:ext cx="0" cy="3524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1</xdr:row>
      <xdr:rowOff>57150</xdr:rowOff>
    </xdr:from>
    <xdr:ext cx="0" cy="38100"/>
    <xdr:pic>
      <xdr:nvPicPr>
        <xdr:cNvPr id="2" name="image11.png">
          <a:extLst>
            <a:ext uri="{FF2B5EF4-FFF2-40B4-BE49-F238E27FC236}">
              <a16:creationId xmlns:a16="http://schemas.microsoft.com/office/drawing/2014/main" id="{00000000-0008-0000-2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xdr:row>
      <xdr:rowOff>57150</xdr:rowOff>
    </xdr:from>
    <xdr:ext cx="0" cy="38100"/>
    <xdr:pic>
      <xdr:nvPicPr>
        <xdr:cNvPr id="3" name="image13.png">
          <a:extLst>
            <a:ext uri="{FF2B5EF4-FFF2-40B4-BE49-F238E27FC236}">
              <a16:creationId xmlns:a16="http://schemas.microsoft.com/office/drawing/2014/main" id="{00000000-0008-0000-2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xdr:row>
      <xdr:rowOff>57150</xdr:rowOff>
    </xdr:from>
    <xdr:ext cx="0" cy="38100"/>
    <xdr:pic>
      <xdr:nvPicPr>
        <xdr:cNvPr id="4" name="image11.png">
          <a:extLst>
            <a:ext uri="{FF2B5EF4-FFF2-40B4-BE49-F238E27FC236}">
              <a16:creationId xmlns:a16="http://schemas.microsoft.com/office/drawing/2014/main" id="{00000000-0008-0000-22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285750"/>
    <xdr:pic>
      <xdr:nvPicPr>
        <xdr:cNvPr id="5" name="image9.png">
          <a:extLst>
            <a:ext uri="{FF2B5EF4-FFF2-40B4-BE49-F238E27FC236}">
              <a16:creationId xmlns:a16="http://schemas.microsoft.com/office/drawing/2014/main" id="{00000000-0008-0000-22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285750"/>
    <xdr:pic>
      <xdr:nvPicPr>
        <xdr:cNvPr id="6" name="image8.png">
          <a:extLst>
            <a:ext uri="{FF2B5EF4-FFF2-40B4-BE49-F238E27FC236}">
              <a16:creationId xmlns:a16="http://schemas.microsoft.com/office/drawing/2014/main" id="{00000000-0008-0000-22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285750"/>
    <xdr:pic>
      <xdr:nvPicPr>
        <xdr:cNvPr id="7" name="image9.png">
          <a:extLst>
            <a:ext uri="{FF2B5EF4-FFF2-40B4-BE49-F238E27FC236}">
              <a16:creationId xmlns:a16="http://schemas.microsoft.com/office/drawing/2014/main" id="{00000000-0008-0000-22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61950"/>
    <xdr:pic>
      <xdr:nvPicPr>
        <xdr:cNvPr id="8" name="image4.png">
          <a:extLst>
            <a:ext uri="{FF2B5EF4-FFF2-40B4-BE49-F238E27FC236}">
              <a16:creationId xmlns:a16="http://schemas.microsoft.com/office/drawing/2014/main" id="{00000000-0008-0000-2200-000008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61950"/>
    <xdr:pic>
      <xdr:nvPicPr>
        <xdr:cNvPr id="9" name="image2.png">
          <a:extLst>
            <a:ext uri="{FF2B5EF4-FFF2-40B4-BE49-F238E27FC236}">
              <a16:creationId xmlns:a16="http://schemas.microsoft.com/office/drawing/2014/main" id="{00000000-0008-0000-2200-000009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61950"/>
    <xdr:pic>
      <xdr:nvPicPr>
        <xdr:cNvPr id="10" name="image4.png">
          <a:extLst>
            <a:ext uri="{FF2B5EF4-FFF2-40B4-BE49-F238E27FC236}">
              <a16:creationId xmlns:a16="http://schemas.microsoft.com/office/drawing/2014/main" id="{00000000-0008-0000-2200-00000A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1" name="image15.png">
          <a:extLst>
            <a:ext uri="{FF2B5EF4-FFF2-40B4-BE49-F238E27FC236}">
              <a16:creationId xmlns:a16="http://schemas.microsoft.com/office/drawing/2014/main" id="{00000000-0008-0000-2200-00000B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2" name="image17.png">
          <a:extLst>
            <a:ext uri="{FF2B5EF4-FFF2-40B4-BE49-F238E27FC236}">
              <a16:creationId xmlns:a16="http://schemas.microsoft.com/office/drawing/2014/main" id="{00000000-0008-0000-2200-00000C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3" name="image15.png">
          <a:extLst>
            <a:ext uri="{FF2B5EF4-FFF2-40B4-BE49-F238E27FC236}">
              <a16:creationId xmlns:a16="http://schemas.microsoft.com/office/drawing/2014/main" id="{00000000-0008-0000-2200-00000D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4" name="image3.png">
          <a:extLst>
            <a:ext uri="{FF2B5EF4-FFF2-40B4-BE49-F238E27FC236}">
              <a16:creationId xmlns:a16="http://schemas.microsoft.com/office/drawing/2014/main" id="{00000000-0008-0000-2200-00000E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5" name="image16.png">
          <a:extLst>
            <a:ext uri="{FF2B5EF4-FFF2-40B4-BE49-F238E27FC236}">
              <a16:creationId xmlns:a16="http://schemas.microsoft.com/office/drawing/2014/main" id="{00000000-0008-0000-2200-00000F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6" name="image3.png">
          <a:extLst>
            <a:ext uri="{FF2B5EF4-FFF2-40B4-BE49-F238E27FC236}">
              <a16:creationId xmlns:a16="http://schemas.microsoft.com/office/drawing/2014/main" id="{00000000-0008-0000-2200-000010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7" name="image12.png">
          <a:extLst>
            <a:ext uri="{FF2B5EF4-FFF2-40B4-BE49-F238E27FC236}">
              <a16:creationId xmlns:a16="http://schemas.microsoft.com/office/drawing/2014/main" id="{00000000-0008-0000-2200-000011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8" name="image7.png">
          <a:extLst>
            <a:ext uri="{FF2B5EF4-FFF2-40B4-BE49-F238E27FC236}">
              <a16:creationId xmlns:a16="http://schemas.microsoft.com/office/drawing/2014/main" id="{00000000-0008-0000-2200-000012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9" name="image12.png">
          <a:extLst>
            <a:ext uri="{FF2B5EF4-FFF2-40B4-BE49-F238E27FC236}">
              <a16:creationId xmlns:a16="http://schemas.microsoft.com/office/drawing/2014/main" id="{00000000-0008-0000-2200-000013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0" name="image12.png">
          <a:extLst>
            <a:ext uri="{FF2B5EF4-FFF2-40B4-BE49-F238E27FC236}">
              <a16:creationId xmlns:a16="http://schemas.microsoft.com/office/drawing/2014/main" id="{00000000-0008-0000-2200-000014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1" name="image7.png">
          <a:extLst>
            <a:ext uri="{FF2B5EF4-FFF2-40B4-BE49-F238E27FC236}">
              <a16:creationId xmlns:a16="http://schemas.microsoft.com/office/drawing/2014/main" id="{00000000-0008-0000-2200-000015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2" name="image12.png">
          <a:extLst>
            <a:ext uri="{FF2B5EF4-FFF2-40B4-BE49-F238E27FC236}">
              <a16:creationId xmlns:a16="http://schemas.microsoft.com/office/drawing/2014/main" id="{00000000-0008-0000-2200-000016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704850"/>
    <xdr:pic>
      <xdr:nvPicPr>
        <xdr:cNvPr id="23" name="image5.png">
          <a:extLst>
            <a:ext uri="{FF2B5EF4-FFF2-40B4-BE49-F238E27FC236}">
              <a16:creationId xmlns:a16="http://schemas.microsoft.com/office/drawing/2014/main" id="{00000000-0008-0000-2200-000017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704850"/>
    <xdr:pic>
      <xdr:nvPicPr>
        <xdr:cNvPr id="24" name="image14.png">
          <a:extLst>
            <a:ext uri="{FF2B5EF4-FFF2-40B4-BE49-F238E27FC236}">
              <a16:creationId xmlns:a16="http://schemas.microsoft.com/office/drawing/2014/main" id="{00000000-0008-0000-2200-000018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704850"/>
    <xdr:pic>
      <xdr:nvPicPr>
        <xdr:cNvPr id="25" name="image5.png">
          <a:extLst>
            <a:ext uri="{FF2B5EF4-FFF2-40B4-BE49-F238E27FC236}">
              <a16:creationId xmlns:a16="http://schemas.microsoft.com/office/drawing/2014/main" id="{00000000-0008-0000-2200-000019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4</xdr:col>
      <xdr:colOff>0</xdr:colOff>
      <xdr:row>14</xdr:row>
      <xdr:rowOff>57150</xdr:rowOff>
    </xdr:from>
    <xdr:ext cx="0" cy="47625"/>
    <xdr:pic>
      <xdr:nvPicPr>
        <xdr:cNvPr id="26" name="image6.png">
          <a:extLst>
            <a:ext uri="{FF2B5EF4-FFF2-40B4-BE49-F238E27FC236}">
              <a16:creationId xmlns:a16="http://schemas.microsoft.com/office/drawing/2014/main" id="{00000000-0008-0000-2200-00001A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4</xdr:col>
      <xdr:colOff>0</xdr:colOff>
      <xdr:row>14</xdr:row>
      <xdr:rowOff>57150</xdr:rowOff>
    </xdr:from>
    <xdr:ext cx="0" cy="47625"/>
    <xdr:pic>
      <xdr:nvPicPr>
        <xdr:cNvPr id="27" name="image10.png">
          <a:extLst>
            <a:ext uri="{FF2B5EF4-FFF2-40B4-BE49-F238E27FC236}">
              <a16:creationId xmlns:a16="http://schemas.microsoft.com/office/drawing/2014/main" id="{00000000-0008-0000-2200-00001B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4</xdr:col>
      <xdr:colOff>0</xdr:colOff>
      <xdr:row>14</xdr:row>
      <xdr:rowOff>57150</xdr:rowOff>
    </xdr:from>
    <xdr:ext cx="0" cy="47625"/>
    <xdr:pic>
      <xdr:nvPicPr>
        <xdr:cNvPr id="28" name="image6.png">
          <a:extLst>
            <a:ext uri="{FF2B5EF4-FFF2-40B4-BE49-F238E27FC236}">
              <a16:creationId xmlns:a16="http://schemas.microsoft.com/office/drawing/2014/main" id="{00000000-0008-0000-2200-00001C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4</xdr:col>
      <xdr:colOff>0</xdr:colOff>
      <xdr:row>1</xdr:row>
      <xdr:rowOff>57150</xdr:rowOff>
    </xdr:from>
    <xdr:ext cx="0" cy="38100"/>
    <xdr:pic>
      <xdr:nvPicPr>
        <xdr:cNvPr id="29" name="image11.png">
          <a:extLst>
            <a:ext uri="{FF2B5EF4-FFF2-40B4-BE49-F238E27FC236}">
              <a16:creationId xmlns:a16="http://schemas.microsoft.com/office/drawing/2014/main" id="{00000000-0008-0000-2200-00001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xdr:row>
      <xdr:rowOff>57150</xdr:rowOff>
    </xdr:from>
    <xdr:ext cx="0" cy="38100"/>
    <xdr:pic>
      <xdr:nvPicPr>
        <xdr:cNvPr id="30" name="image13.png">
          <a:extLst>
            <a:ext uri="{FF2B5EF4-FFF2-40B4-BE49-F238E27FC236}">
              <a16:creationId xmlns:a16="http://schemas.microsoft.com/office/drawing/2014/main" id="{00000000-0008-0000-2200-00001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xdr:row>
      <xdr:rowOff>57150</xdr:rowOff>
    </xdr:from>
    <xdr:ext cx="0" cy="38100"/>
    <xdr:pic>
      <xdr:nvPicPr>
        <xdr:cNvPr id="31" name="image11.png">
          <a:extLst>
            <a:ext uri="{FF2B5EF4-FFF2-40B4-BE49-F238E27FC236}">
              <a16:creationId xmlns:a16="http://schemas.microsoft.com/office/drawing/2014/main" id="{00000000-0008-0000-22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285750"/>
    <xdr:pic>
      <xdr:nvPicPr>
        <xdr:cNvPr id="32" name="image9.png">
          <a:extLst>
            <a:ext uri="{FF2B5EF4-FFF2-40B4-BE49-F238E27FC236}">
              <a16:creationId xmlns:a16="http://schemas.microsoft.com/office/drawing/2014/main" id="{00000000-0008-0000-2200-000020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285750"/>
    <xdr:pic>
      <xdr:nvPicPr>
        <xdr:cNvPr id="33" name="image8.png">
          <a:extLst>
            <a:ext uri="{FF2B5EF4-FFF2-40B4-BE49-F238E27FC236}">
              <a16:creationId xmlns:a16="http://schemas.microsoft.com/office/drawing/2014/main" id="{00000000-0008-0000-2200-000021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285750"/>
    <xdr:pic>
      <xdr:nvPicPr>
        <xdr:cNvPr id="34" name="image9.png">
          <a:extLst>
            <a:ext uri="{FF2B5EF4-FFF2-40B4-BE49-F238E27FC236}">
              <a16:creationId xmlns:a16="http://schemas.microsoft.com/office/drawing/2014/main" id="{00000000-0008-0000-2200-00002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61950"/>
    <xdr:pic>
      <xdr:nvPicPr>
        <xdr:cNvPr id="35" name="image4.png">
          <a:extLst>
            <a:ext uri="{FF2B5EF4-FFF2-40B4-BE49-F238E27FC236}">
              <a16:creationId xmlns:a16="http://schemas.microsoft.com/office/drawing/2014/main" id="{00000000-0008-0000-2200-000023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61950"/>
    <xdr:pic>
      <xdr:nvPicPr>
        <xdr:cNvPr id="36" name="image2.png">
          <a:extLst>
            <a:ext uri="{FF2B5EF4-FFF2-40B4-BE49-F238E27FC236}">
              <a16:creationId xmlns:a16="http://schemas.microsoft.com/office/drawing/2014/main" id="{00000000-0008-0000-2200-000024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61950"/>
    <xdr:pic>
      <xdr:nvPicPr>
        <xdr:cNvPr id="37" name="image4.png">
          <a:extLst>
            <a:ext uri="{FF2B5EF4-FFF2-40B4-BE49-F238E27FC236}">
              <a16:creationId xmlns:a16="http://schemas.microsoft.com/office/drawing/2014/main" id="{00000000-0008-0000-2200-000025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38" name="image15.png">
          <a:extLst>
            <a:ext uri="{FF2B5EF4-FFF2-40B4-BE49-F238E27FC236}">
              <a16:creationId xmlns:a16="http://schemas.microsoft.com/office/drawing/2014/main" id="{00000000-0008-0000-2200-000026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39" name="image17.png">
          <a:extLst>
            <a:ext uri="{FF2B5EF4-FFF2-40B4-BE49-F238E27FC236}">
              <a16:creationId xmlns:a16="http://schemas.microsoft.com/office/drawing/2014/main" id="{00000000-0008-0000-2200-000027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40" name="image15.png">
          <a:extLst>
            <a:ext uri="{FF2B5EF4-FFF2-40B4-BE49-F238E27FC236}">
              <a16:creationId xmlns:a16="http://schemas.microsoft.com/office/drawing/2014/main" id="{00000000-0008-0000-2200-000028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41" name="image3.png">
          <a:extLst>
            <a:ext uri="{FF2B5EF4-FFF2-40B4-BE49-F238E27FC236}">
              <a16:creationId xmlns:a16="http://schemas.microsoft.com/office/drawing/2014/main" id="{00000000-0008-0000-2200-000029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42" name="image16.png">
          <a:extLst>
            <a:ext uri="{FF2B5EF4-FFF2-40B4-BE49-F238E27FC236}">
              <a16:creationId xmlns:a16="http://schemas.microsoft.com/office/drawing/2014/main" id="{00000000-0008-0000-2200-00002A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43" name="image3.png">
          <a:extLst>
            <a:ext uri="{FF2B5EF4-FFF2-40B4-BE49-F238E27FC236}">
              <a16:creationId xmlns:a16="http://schemas.microsoft.com/office/drawing/2014/main" id="{00000000-0008-0000-2200-00002B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44" name="image12.png">
          <a:extLst>
            <a:ext uri="{FF2B5EF4-FFF2-40B4-BE49-F238E27FC236}">
              <a16:creationId xmlns:a16="http://schemas.microsoft.com/office/drawing/2014/main" id="{00000000-0008-0000-2200-00002C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45" name="image7.png">
          <a:extLst>
            <a:ext uri="{FF2B5EF4-FFF2-40B4-BE49-F238E27FC236}">
              <a16:creationId xmlns:a16="http://schemas.microsoft.com/office/drawing/2014/main" id="{00000000-0008-0000-2200-00002D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46" name="image12.png">
          <a:extLst>
            <a:ext uri="{FF2B5EF4-FFF2-40B4-BE49-F238E27FC236}">
              <a16:creationId xmlns:a16="http://schemas.microsoft.com/office/drawing/2014/main" id="{00000000-0008-0000-2200-00002E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47" name="image12.png">
          <a:extLst>
            <a:ext uri="{FF2B5EF4-FFF2-40B4-BE49-F238E27FC236}">
              <a16:creationId xmlns:a16="http://schemas.microsoft.com/office/drawing/2014/main" id="{00000000-0008-0000-2200-00002F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48" name="image7.png">
          <a:extLst>
            <a:ext uri="{FF2B5EF4-FFF2-40B4-BE49-F238E27FC236}">
              <a16:creationId xmlns:a16="http://schemas.microsoft.com/office/drawing/2014/main" id="{00000000-0008-0000-2200-000030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49" name="image12.png">
          <a:extLst>
            <a:ext uri="{FF2B5EF4-FFF2-40B4-BE49-F238E27FC236}">
              <a16:creationId xmlns:a16="http://schemas.microsoft.com/office/drawing/2014/main" id="{00000000-0008-0000-2200-000031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704850"/>
    <xdr:pic>
      <xdr:nvPicPr>
        <xdr:cNvPr id="50" name="image5.png">
          <a:extLst>
            <a:ext uri="{FF2B5EF4-FFF2-40B4-BE49-F238E27FC236}">
              <a16:creationId xmlns:a16="http://schemas.microsoft.com/office/drawing/2014/main" id="{00000000-0008-0000-2200-000032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704850"/>
    <xdr:pic>
      <xdr:nvPicPr>
        <xdr:cNvPr id="51" name="image14.png">
          <a:extLst>
            <a:ext uri="{FF2B5EF4-FFF2-40B4-BE49-F238E27FC236}">
              <a16:creationId xmlns:a16="http://schemas.microsoft.com/office/drawing/2014/main" id="{00000000-0008-0000-2200-000033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704850"/>
    <xdr:pic>
      <xdr:nvPicPr>
        <xdr:cNvPr id="52" name="image5.png">
          <a:extLst>
            <a:ext uri="{FF2B5EF4-FFF2-40B4-BE49-F238E27FC236}">
              <a16:creationId xmlns:a16="http://schemas.microsoft.com/office/drawing/2014/main" id="{00000000-0008-0000-2200-000034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4</xdr:col>
      <xdr:colOff>0</xdr:colOff>
      <xdr:row>14</xdr:row>
      <xdr:rowOff>57150</xdr:rowOff>
    </xdr:from>
    <xdr:ext cx="0" cy="47625"/>
    <xdr:pic>
      <xdr:nvPicPr>
        <xdr:cNvPr id="53" name="image6.png">
          <a:extLst>
            <a:ext uri="{FF2B5EF4-FFF2-40B4-BE49-F238E27FC236}">
              <a16:creationId xmlns:a16="http://schemas.microsoft.com/office/drawing/2014/main" id="{00000000-0008-0000-2200-000035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4</xdr:col>
      <xdr:colOff>0</xdr:colOff>
      <xdr:row>14</xdr:row>
      <xdr:rowOff>57150</xdr:rowOff>
    </xdr:from>
    <xdr:ext cx="0" cy="47625"/>
    <xdr:pic>
      <xdr:nvPicPr>
        <xdr:cNvPr id="54" name="image10.png">
          <a:extLst>
            <a:ext uri="{FF2B5EF4-FFF2-40B4-BE49-F238E27FC236}">
              <a16:creationId xmlns:a16="http://schemas.microsoft.com/office/drawing/2014/main" id="{00000000-0008-0000-2200-000036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4</xdr:col>
      <xdr:colOff>0</xdr:colOff>
      <xdr:row>14</xdr:row>
      <xdr:rowOff>57150</xdr:rowOff>
    </xdr:from>
    <xdr:ext cx="0" cy="47625"/>
    <xdr:pic>
      <xdr:nvPicPr>
        <xdr:cNvPr id="55" name="image6.png">
          <a:extLst>
            <a:ext uri="{FF2B5EF4-FFF2-40B4-BE49-F238E27FC236}">
              <a16:creationId xmlns:a16="http://schemas.microsoft.com/office/drawing/2014/main" id="{00000000-0008-0000-2200-000037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1</xdr:col>
      <xdr:colOff>0</xdr:colOff>
      <xdr:row>1</xdr:row>
      <xdr:rowOff>57150</xdr:rowOff>
    </xdr:from>
    <xdr:ext cx="0" cy="38100"/>
    <xdr:pic>
      <xdr:nvPicPr>
        <xdr:cNvPr id="56" name="image11.png">
          <a:extLst>
            <a:ext uri="{FF2B5EF4-FFF2-40B4-BE49-F238E27FC236}">
              <a16:creationId xmlns:a16="http://schemas.microsoft.com/office/drawing/2014/main" id="{00000000-0008-0000-2200-00003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xdr:row>
      <xdr:rowOff>57150</xdr:rowOff>
    </xdr:from>
    <xdr:ext cx="0" cy="38100"/>
    <xdr:pic>
      <xdr:nvPicPr>
        <xdr:cNvPr id="57" name="image13.png">
          <a:extLst>
            <a:ext uri="{FF2B5EF4-FFF2-40B4-BE49-F238E27FC236}">
              <a16:creationId xmlns:a16="http://schemas.microsoft.com/office/drawing/2014/main" id="{00000000-0008-0000-2200-00003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0</xdr:colOff>
      <xdr:row>1</xdr:row>
      <xdr:rowOff>57150</xdr:rowOff>
    </xdr:from>
    <xdr:ext cx="0" cy="38100"/>
    <xdr:pic>
      <xdr:nvPicPr>
        <xdr:cNvPr id="58" name="image11.png">
          <a:extLst>
            <a:ext uri="{FF2B5EF4-FFF2-40B4-BE49-F238E27FC236}">
              <a16:creationId xmlns:a16="http://schemas.microsoft.com/office/drawing/2014/main" id="{00000000-0008-0000-2200-00003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59" name="image15.png">
          <a:extLst>
            <a:ext uri="{FF2B5EF4-FFF2-40B4-BE49-F238E27FC236}">
              <a16:creationId xmlns:a16="http://schemas.microsoft.com/office/drawing/2014/main" id="{00000000-0008-0000-2200-00003B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60" name="image17.png">
          <a:extLst>
            <a:ext uri="{FF2B5EF4-FFF2-40B4-BE49-F238E27FC236}">
              <a16:creationId xmlns:a16="http://schemas.microsoft.com/office/drawing/2014/main" id="{00000000-0008-0000-2200-00003C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61" name="image15.png">
          <a:extLst>
            <a:ext uri="{FF2B5EF4-FFF2-40B4-BE49-F238E27FC236}">
              <a16:creationId xmlns:a16="http://schemas.microsoft.com/office/drawing/2014/main" id="{00000000-0008-0000-2200-00003D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62" name="image3.png">
          <a:extLst>
            <a:ext uri="{FF2B5EF4-FFF2-40B4-BE49-F238E27FC236}">
              <a16:creationId xmlns:a16="http://schemas.microsoft.com/office/drawing/2014/main" id="{00000000-0008-0000-2200-00003E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63" name="image16.png">
          <a:extLst>
            <a:ext uri="{FF2B5EF4-FFF2-40B4-BE49-F238E27FC236}">
              <a16:creationId xmlns:a16="http://schemas.microsoft.com/office/drawing/2014/main" id="{00000000-0008-0000-2200-00003F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64" name="image3.png">
          <a:extLst>
            <a:ext uri="{FF2B5EF4-FFF2-40B4-BE49-F238E27FC236}">
              <a16:creationId xmlns:a16="http://schemas.microsoft.com/office/drawing/2014/main" id="{00000000-0008-0000-2200-000040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65" name="image12.png">
          <a:extLst>
            <a:ext uri="{FF2B5EF4-FFF2-40B4-BE49-F238E27FC236}">
              <a16:creationId xmlns:a16="http://schemas.microsoft.com/office/drawing/2014/main" id="{00000000-0008-0000-2200-000041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66" name="image7.png">
          <a:extLst>
            <a:ext uri="{FF2B5EF4-FFF2-40B4-BE49-F238E27FC236}">
              <a16:creationId xmlns:a16="http://schemas.microsoft.com/office/drawing/2014/main" id="{00000000-0008-0000-2200-000042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67" name="image12.png">
          <a:extLst>
            <a:ext uri="{FF2B5EF4-FFF2-40B4-BE49-F238E27FC236}">
              <a16:creationId xmlns:a16="http://schemas.microsoft.com/office/drawing/2014/main" id="{00000000-0008-0000-2200-000043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68" name="image12.png">
          <a:extLst>
            <a:ext uri="{FF2B5EF4-FFF2-40B4-BE49-F238E27FC236}">
              <a16:creationId xmlns:a16="http://schemas.microsoft.com/office/drawing/2014/main" id="{00000000-0008-0000-2200-000044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69" name="image7.png">
          <a:extLst>
            <a:ext uri="{FF2B5EF4-FFF2-40B4-BE49-F238E27FC236}">
              <a16:creationId xmlns:a16="http://schemas.microsoft.com/office/drawing/2014/main" id="{00000000-0008-0000-2200-000045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70" name="image12.png">
          <a:extLst>
            <a:ext uri="{FF2B5EF4-FFF2-40B4-BE49-F238E27FC236}">
              <a16:creationId xmlns:a16="http://schemas.microsoft.com/office/drawing/2014/main" id="{00000000-0008-0000-2200-000046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704850"/>
    <xdr:pic>
      <xdr:nvPicPr>
        <xdr:cNvPr id="71" name="image5.png">
          <a:extLst>
            <a:ext uri="{FF2B5EF4-FFF2-40B4-BE49-F238E27FC236}">
              <a16:creationId xmlns:a16="http://schemas.microsoft.com/office/drawing/2014/main" id="{00000000-0008-0000-2200-000047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704850"/>
    <xdr:pic>
      <xdr:nvPicPr>
        <xdr:cNvPr id="72" name="image14.png">
          <a:extLst>
            <a:ext uri="{FF2B5EF4-FFF2-40B4-BE49-F238E27FC236}">
              <a16:creationId xmlns:a16="http://schemas.microsoft.com/office/drawing/2014/main" id="{00000000-0008-0000-2200-000048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704850"/>
    <xdr:pic>
      <xdr:nvPicPr>
        <xdr:cNvPr id="73" name="image5.png">
          <a:extLst>
            <a:ext uri="{FF2B5EF4-FFF2-40B4-BE49-F238E27FC236}">
              <a16:creationId xmlns:a16="http://schemas.microsoft.com/office/drawing/2014/main" id="{00000000-0008-0000-2200-000049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1</xdr:col>
      <xdr:colOff>0</xdr:colOff>
      <xdr:row>14</xdr:row>
      <xdr:rowOff>57150</xdr:rowOff>
    </xdr:from>
    <xdr:ext cx="0" cy="47625"/>
    <xdr:pic>
      <xdr:nvPicPr>
        <xdr:cNvPr id="74" name="image6.png">
          <a:extLst>
            <a:ext uri="{FF2B5EF4-FFF2-40B4-BE49-F238E27FC236}">
              <a16:creationId xmlns:a16="http://schemas.microsoft.com/office/drawing/2014/main" id="{00000000-0008-0000-2200-00004A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1</xdr:col>
      <xdr:colOff>0</xdr:colOff>
      <xdr:row>14</xdr:row>
      <xdr:rowOff>57150</xdr:rowOff>
    </xdr:from>
    <xdr:ext cx="0" cy="47625"/>
    <xdr:pic>
      <xdr:nvPicPr>
        <xdr:cNvPr id="75" name="image10.png">
          <a:extLst>
            <a:ext uri="{FF2B5EF4-FFF2-40B4-BE49-F238E27FC236}">
              <a16:creationId xmlns:a16="http://schemas.microsoft.com/office/drawing/2014/main" id="{00000000-0008-0000-2200-00004B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1</xdr:col>
      <xdr:colOff>0</xdr:colOff>
      <xdr:row>14</xdr:row>
      <xdr:rowOff>57150</xdr:rowOff>
    </xdr:from>
    <xdr:ext cx="0" cy="47625"/>
    <xdr:pic>
      <xdr:nvPicPr>
        <xdr:cNvPr id="76" name="image6.png">
          <a:extLst>
            <a:ext uri="{FF2B5EF4-FFF2-40B4-BE49-F238E27FC236}">
              <a16:creationId xmlns:a16="http://schemas.microsoft.com/office/drawing/2014/main" id="{00000000-0008-0000-2200-00004C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1</xdr:col>
      <xdr:colOff>0</xdr:colOff>
      <xdr:row>1</xdr:row>
      <xdr:rowOff>57150</xdr:rowOff>
    </xdr:from>
    <xdr:ext cx="0" cy="38100"/>
    <xdr:pic>
      <xdr:nvPicPr>
        <xdr:cNvPr id="77" name="image11.png">
          <a:extLst>
            <a:ext uri="{FF2B5EF4-FFF2-40B4-BE49-F238E27FC236}">
              <a16:creationId xmlns:a16="http://schemas.microsoft.com/office/drawing/2014/main" id="{00000000-0008-0000-2200-00004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xdr:row>
      <xdr:rowOff>57150</xdr:rowOff>
    </xdr:from>
    <xdr:ext cx="0" cy="38100"/>
    <xdr:pic>
      <xdr:nvPicPr>
        <xdr:cNvPr id="78" name="image13.png">
          <a:extLst>
            <a:ext uri="{FF2B5EF4-FFF2-40B4-BE49-F238E27FC236}">
              <a16:creationId xmlns:a16="http://schemas.microsoft.com/office/drawing/2014/main" id="{00000000-0008-0000-2200-00004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0</xdr:colOff>
      <xdr:row>1</xdr:row>
      <xdr:rowOff>57150</xdr:rowOff>
    </xdr:from>
    <xdr:ext cx="0" cy="38100"/>
    <xdr:pic>
      <xdr:nvPicPr>
        <xdr:cNvPr id="79" name="image11.png">
          <a:extLst>
            <a:ext uri="{FF2B5EF4-FFF2-40B4-BE49-F238E27FC236}">
              <a16:creationId xmlns:a16="http://schemas.microsoft.com/office/drawing/2014/main" id="{00000000-0008-0000-2200-00004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80" name="image15.png">
          <a:extLst>
            <a:ext uri="{FF2B5EF4-FFF2-40B4-BE49-F238E27FC236}">
              <a16:creationId xmlns:a16="http://schemas.microsoft.com/office/drawing/2014/main" id="{00000000-0008-0000-2200-000050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81" name="image17.png">
          <a:extLst>
            <a:ext uri="{FF2B5EF4-FFF2-40B4-BE49-F238E27FC236}">
              <a16:creationId xmlns:a16="http://schemas.microsoft.com/office/drawing/2014/main" id="{00000000-0008-0000-2200-000051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82" name="image15.png">
          <a:extLst>
            <a:ext uri="{FF2B5EF4-FFF2-40B4-BE49-F238E27FC236}">
              <a16:creationId xmlns:a16="http://schemas.microsoft.com/office/drawing/2014/main" id="{00000000-0008-0000-2200-000052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83" name="image3.png">
          <a:extLst>
            <a:ext uri="{FF2B5EF4-FFF2-40B4-BE49-F238E27FC236}">
              <a16:creationId xmlns:a16="http://schemas.microsoft.com/office/drawing/2014/main" id="{00000000-0008-0000-2200-000053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84" name="image16.png">
          <a:extLst>
            <a:ext uri="{FF2B5EF4-FFF2-40B4-BE49-F238E27FC236}">
              <a16:creationId xmlns:a16="http://schemas.microsoft.com/office/drawing/2014/main" id="{00000000-0008-0000-2200-000054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85" name="image3.png">
          <a:extLst>
            <a:ext uri="{FF2B5EF4-FFF2-40B4-BE49-F238E27FC236}">
              <a16:creationId xmlns:a16="http://schemas.microsoft.com/office/drawing/2014/main" id="{00000000-0008-0000-2200-000055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86" name="image12.png">
          <a:extLst>
            <a:ext uri="{FF2B5EF4-FFF2-40B4-BE49-F238E27FC236}">
              <a16:creationId xmlns:a16="http://schemas.microsoft.com/office/drawing/2014/main" id="{00000000-0008-0000-2200-000056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87" name="image7.png">
          <a:extLst>
            <a:ext uri="{FF2B5EF4-FFF2-40B4-BE49-F238E27FC236}">
              <a16:creationId xmlns:a16="http://schemas.microsoft.com/office/drawing/2014/main" id="{00000000-0008-0000-2200-000057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88" name="image12.png">
          <a:extLst>
            <a:ext uri="{FF2B5EF4-FFF2-40B4-BE49-F238E27FC236}">
              <a16:creationId xmlns:a16="http://schemas.microsoft.com/office/drawing/2014/main" id="{00000000-0008-0000-2200-000058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89" name="image12.png">
          <a:extLst>
            <a:ext uri="{FF2B5EF4-FFF2-40B4-BE49-F238E27FC236}">
              <a16:creationId xmlns:a16="http://schemas.microsoft.com/office/drawing/2014/main" id="{00000000-0008-0000-2200-000059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90" name="image7.png">
          <a:extLst>
            <a:ext uri="{FF2B5EF4-FFF2-40B4-BE49-F238E27FC236}">
              <a16:creationId xmlns:a16="http://schemas.microsoft.com/office/drawing/2014/main" id="{00000000-0008-0000-2200-00005A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8100"/>
    <xdr:pic>
      <xdr:nvPicPr>
        <xdr:cNvPr id="91" name="image12.png">
          <a:extLst>
            <a:ext uri="{FF2B5EF4-FFF2-40B4-BE49-F238E27FC236}">
              <a16:creationId xmlns:a16="http://schemas.microsoft.com/office/drawing/2014/main" id="{00000000-0008-0000-2200-00005B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704850"/>
    <xdr:pic>
      <xdr:nvPicPr>
        <xdr:cNvPr id="92" name="image5.png">
          <a:extLst>
            <a:ext uri="{FF2B5EF4-FFF2-40B4-BE49-F238E27FC236}">
              <a16:creationId xmlns:a16="http://schemas.microsoft.com/office/drawing/2014/main" id="{00000000-0008-0000-2200-00005C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704850"/>
    <xdr:pic>
      <xdr:nvPicPr>
        <xdr:cNvPr id="93" name="image14.png">
          <a:extLst>
            <a:ext uri="{FF2B5EF4-FFF2-40B4-BE49-F238E27FC236}">
              <a16:creationId xmlns:a16="http://schemas.microsoft.com/office/drawing/2014/main" id="{00000000-0008-0000-2200-00005D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704850"/>
    <xdr:pic>
      <xdr:nvPicPr>
        <xdr:cNvPr id="94" name="image5.png">
          <a:extLst>
            <a:ext uri="{FF2B5EF4-FFF2-40B4-BE49-F238E27FC236}">
              <a16:creationId xmlns:a16="http://schemas.microsoft.com/office/drawing/2014/main" id="{00000000-0008-0000-2200-00005E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1</xdr:col>
      <xdr:colOff>0</xdr:colOff>
      <xdr:row>14</xdr:row>
      <xdr:rowOff>57150</xdr:rowOff>
    </xdr:from>
    <xdr:ext cx="0" cy="47625"/>
    <xdr:pic>
      <xdr:nvPicPr>
        <xdr:cNvPr id="95" name="image6.png">
          <a:extLst>
            <a:ext uri="{FF2B5EF4-FFF2-40B4-BE49-F238E27FC236}">
              <a16:creationId xmlns:a16="http://schemas.microsoft.com/office/drawing/2014/main" id="{00000000-0008-0000-2200-00005F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1</xdr:col>
      <xdr:colOff>0</xdr:colOff>
      <xdr:row>14</xdr:row>
      <xdr:rowOff>57150</xdr:rowOff>
    </xdr:from>
    <xdr:ext cx="0" cy="47625"/>
    <xdr:pic>
      <xdr:nvPicPr>
        <xdr:cNvPr id="96" name="image10.png">
          <a:extLst>
            <a:ext uri="{FF2B5EF4-FFF2-40B4-BE49-F238E27FC236}">
              <a16:creationId xmlns:a16="http://schemas.microsoft.com/office/drawing/2014/main" id="{00000000-0008-0000-2200-000060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1</xdr:col>
      <xdr:colOff>0</xdr:colOff>
      <xdr:row>14</xdr:row>
      <xdr:rowOff>57150</xdr:rowOff>
    </xdr:from>
    <xdr:ext cx="0" cy="47625"/>
    <xdr:pic>
      <xdr:nvPicPr>
        <xdr:cNvPr id="97" name="image6.png">
          <a:extLst>
            <a:ext uri="{FF2B5EF4-FFF2-40B4-BE49-F238E27FC236}">
              <a16:creationId xmlns:a16="http://schemas.microsoft.com/office/drawing/2014/main" id="{00000000-0008-0000-2200-000061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4</xdr:col>
      <xdr:colOff>0</xdr:colOff>
      <xdr:row>7</xdr:row>
      <xdr:rowOff>57150</xdr:rowOff>
    </xdr:from>
    <xdr:ext cx="0" cy="38100"/>
    <xdr:pic>
      <xdr:nvPicPr>
        <xdr:cNvPr id="98" name="image11.png">
          <a:extLst>
            <a:ext uri="{FF2B5EF4-FFF2-40B4-BE49-F238E27FC236}">
              <a16:creationId xmlns:a16="http://schemas.microsoft.com/office/drawing/2014/main" id="{00000000-0008-0000-2200-00006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7</xdr:row>
      <xdr:rowOff>57150</xdr:rowOff>
    </xdr:from>
    <xdr:ext cx="0" cy="38100"/>
    <xdr:pic>
      <xdr:nvPicPr>
        <xdr:cNvPr id="99" name="image13.png">
          <a:extLst>
            <a:ext uri="{FF2B5EF4-FFF2-40B4-BE49-F238E27FC236}">
              <a16:creationId xmlns:a16="http://schemas.microsoft.com/office/drawing/2014/main" id="{00000000-0008-0000-2200-00006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7</xdr:row>
      <xdr:rowOff>57150</xdr:rowOff>
    </xdr:from>
    <xdr:ext cx="0" cy="38100"/>
    <xdr:pic>
      <xdr:nvPicPr>
        <xdr:cNvPr id="100" name="image11.png">
          <a:extLst>
            <a:ext uri="{FF2B5EF4-FFF2-40B4-BE49-F238E27FC236}">
              <a16:creationId xmlns:a16="http://schemas.microsoft.com/office/drawing/2014/main" id="{00000000-0008-0000-2200-00006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7</xdr:row>
      <xdr:rowOff>57150</xdr:rowOff>
    </xdr:from>
    <xdr:ext cx="0" cy="38100"/>
    <xdr:pic>
      <xdr:nvPicPr>
        <xdr:cNvPr id="101" name="image11.png">
          <a:extLst>
            <a:ext uri="{FF2B5EF4-FFF2-40B4-BE49-F238E27FC236}">
              <a16:creationId xmlns:a16="http://schemas.microsoft.com/office/drawing/2014/main" id="{00000000-0008-0000-2200-00006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7</xdr:row>
      <xdr:rowOff>57150</xdr:rowOff>
    </xdr:from>
    <xdr:ext cx="0" cy="38100"/>
    <xdr:pic>
      <xdr:nvPicPr>
        <xdr:cNvPr id="102" name="image13.png">
          <a:extLst>
            <a:ext uri="{FF2B5EF4-FFF2-40B4-BE49-F238E27FC236}">
              <a16:creationId xmlns:a16="http://schemas.microsoft.com/office/drawing/2014/main" id="{00000000-0008-0000-2200-00006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7</xdr:row>
      <xdr:rowOff>57150</xdr:rowOff>
    </xdr:from>
    <xdr:ext cx="0" cy="38100"/>
    <xdr:pic>
      <xdr:nvPicPr>
        <xdr:cNvPr id="103" name="image11.png">
          <a:extLst>
            <a:ext uri="{FF2B5EF4-FFF2-40B4-BE49-F238E27FC236}">
              <a16:creationId xmlns:a16="http://schemas.microsoft.com/office/drawing/2014/main" id="{00000000-0008-0000-2200-00006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8</xdr:row>
      <xdr:rowOff>57150</xdr:rowOff>
    </xdr:from>
    <xdr:ext cx="0" cy="38100"/>
    <xdr:pic>
      <xdr:nvPicPr>
        <xdr:cNvPr id="104" name="image11.png">
          <a:extLst>
            <a:ext uri="{FF2B5EF4-FFF2-40B4-BE49-F238E27FC236}">
              <a16:creationId xmlns:a16="http://schemas.microsoft.com/office/drawing/2014/main" id="{00000000-0008-0000-2200-00006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8</xdr:row>
      <xdr:rowOff>57150</xdr:rowOff>
    </xdr:from>
    <xdr:ext cx="0" cy="38100"/>
    <xdr:pic>
      <xdr:nvPicPr>
        <xdr:cNvPr id="105" name="image13.png">
          <a:extLst>
            <a:ext uri="{FF2B5EF4-FFF2-40B4-BE49-F238E27FC236}">
              <a16:creationId xmlns:a16="http://schemas.microsoft.com/office/drawing/2014/main" id="{00000000-0008-0000-2200-00006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8</xdr:row>
      <xdr:rowOff>57150</xdr:rowOff>
    </xdr:from>
    <xdr:ext cx="0" cy="38100"/>
    <xdr:pic>
      <xdr:nvPicPr>
        <xdr:cNvPr id="106" name="image11.png">
          <a:extLst>
            <a:ext uri="{FF2B5EF4-FFF2-40B4-BE49-F238E27FC236}">
              <a16:creationId xmlns:a16="http://schemas.microsoft.com/office/drawing/2014/main" id="{00000000-0008-0000-2200-00006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8</xdr:row>
      <xdr:rowOff>57150</xdr:rowOff>
    </xdr:from>
    <xdr:ext cx="0" cy="38100"/>
    <xdr:pic>
      <xdr:nvPicPr>
        <xdr:cNvPr id="107" name="image11.png">
          <a:extLst>
            <a:ext uri="{FF2B5EF4-FFF2-40B4-BE49-F238E27FC236}">
              <a16:creationId xmlns:a16="http://schemas.microsoft.com/office/drawing/2014/main" id="{00000000-0008-0000-2200-00006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8</xdr:row>
      <xdr:rowOff>57150</xdr:rowOff>
    </xdr:from>
    <xdr:ext cx="0" cy="38100"/>
    <xdr:pic>
      <xdr:nvPicPr>
        <xdr:cNvPr id="108" name="image13.png">
          <a:extLst>
            <a:ext uri="{FF2B5EF4-FFF2-40B4-BE49-F238E27FC236}">
              <a16:creationId xmlns:a16="http://schemas.microsoft.com/office/drawing/2014/main" id="{00000000-0008-0000-2200-00006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8</xdr:row>
      <xdr:rowOff>57150</xdr:rowOff>
    </xdr:from>
    <xdr:ext cx="0" cy="38100"/>
    <xdr:pic>
      <xdr:nvPicPr>
        <xdr:cNvPr id="109" name="image11.png">
          <a:extLst>
            <a:ext uri="{FF2B5EF4-FFF2-40B4-BE49-F238E27FC236}">
              <a16:creationId xmlns:a16="http://schemas.microsoft.com/office/drawing/2014/main" id="{00000000-0008-0000-2200-00006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8</xdr:row>
      <xdr:rowOff>0</xdr:rowOff>
    </xdr:from>
    <xdr:ext cx="0" cy="38100"/>
    <xdr:pic>
      <xdr:nvPicPr>
        <xdr:cNvPr id="110" name="image11.png">
          <a:extLst>
            <a:ext uri="{FF2B5EF4-FFF2-40B4-BE49-F238E27FC236}">
              <a16:creationId xmlns:a16="http://schemas.microsoft.com/office/drawing/2014/main" id="{00000000-0008-0000-2200-00006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8</xdr:row>
      <xdr:rowOff>0</xdr:rowOff>
    </xdr:from>
    <xdr:ext cx="0" cy="38100"/>
    <xdr:pic>
      <xdr:nvPicPr>
        <xdr:cNvPr id="111" name="image13.png">
          <a:extLst>
            <a:ext uri="{FF2B5EF4-FFF2-40B4-BE49-F238E27FC236}">
              <a16:creationId xmlns:a16="http://schemas.microsoft.com/office/drawing/2014/main" id="{00000000-0008-0000-2200-00006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8</xdr:row>
      <xdr:rowOff>0</xdr:rowOff>
    </xdr:from>
    <xdr:ext cx="0" cy="38100"/>
    <xdr:pic>
      <xdr:nvPicPr>
        <xdr:cNvPr id="112" name="image11.png">
          <a:extLst>
            <a:ext uri="{FF2B5EF4-FFF2-40B4-BE49-F238E27FC236}">
              <a16:creationId xmlns:a16="http://schemas.microsoft.com/office/drawing/2014/main" id="{00000000-0008-0000-2200-00007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8</xdr:row>
      <xdr:rowOff>0</xdr:rowOff>
    </xdr:from>
    <xdr:ext cx="0" cy="38100"/>
    <xdr:pic>
      <xdr:nvPicPr>
        <xdr:cNvPr id="113" name="image11.png">
          <a:extLst>
            <a:ext uri="{FF2B5EF4-FFF2-40B4-BE49-F238E27FC236}">
              <a16:creationId xmlns:a16="http://schemas.microsoft.com/office/drawing/2014/main" id="{00000000-0008-0000-2200-00007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8</xdr:row>
      <xdr:rowOff>0</xdr:rowOff>
    </xdr:from>
    <xdr:ext cx="0" cy="38100"/>
    <xdr:pic>
      <xdr:nvPicPr>
        <xdr:cNvPr id="114" name="image13.png">
          <a:extLst>
            <a:ext uri="{FF2B5EF4-FFF2-40B4-BE49-F238E27FC236}">
              <a16:creationId xmlns:a16="http://schemas.microsoft.com/office/drawing/2014/main" id="{00000000-0008-0000-2200-00007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8</xdr:row>
      <xdr:rowOff>0</xdr:rowOff>
    </xdr:from>
    <xdr:ext cx="0" cy="38100"/>
    <xdr:pic>
      <xdr:nvPicPr>
        <xdr:cNvPr id="115" name="image11.png">
          <a:extLst>
            <a:ext uri="{FF2B5EF4-FFF2-40B4-BE49-F238E27FC236}">
              <a16:creationId xmlns:a16="http://schemas.microsoft.com/office/drawing/2014/main" id="{00000000-0008-0000-2200-00007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8</xdr:row>
      <xdr:rowOff>57150</xdr:rowOff>
    </xdr:from>
    <xdr:ext cx="0" cy="38100"/>
    <xdr:pic>
      <xdr:nvPicPr>
        <xdr:cNvPr id="116" name="image11.png">
          <a:extLst>
            <a:ext uri="{FF2B5EF4-FFF2-40B4-BE49-F238E27FC236}">
              <a16:creationId xmlns:a16="http://schemas.microsoft.com/office/drawing/2014/main" id="{00000000-0008-0000-2200-00007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8</xdr:row>
      <xdr:rowOff>57150</xdr:rowOff>
    </xdr:from>
    <xdr:ext cx="0" cy="38100"/>
    <xdr:pic>
      <xdr:nvPicPr>
        <xdr:cNvPr id="117" name="image13.png">
          <a:extLst>
            <a:ext uri="{FF2B5EF4-FFF2-40B4-BE49-F238E27FC236}">
              <a16:creationId xmlns:a16="http://schemas.microsoft.com/office/drawing/2014/main" id="{00000000-0008-0000-2200-00007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8</xdr:row>
      <xdr:rowOff>57150</xdr:rowOff>
    </xdr:from>
    <xdr:ext cx="0" cy="38100"/>
    <xdr:pic>
      <xdr:nvPicPr>
        <xdr:cNvPr id="118" name="image11.png">
          <a:extLst>
            <a:ext uri="{FF2B5EF4-FFF2-40B4-BE49-F238E27FC236}">
              <a16:creationId xmlns:a16="http://schemas.microsoft.com/office/drawing/2014/main" id="{00000000-0008-0000-2200-00007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8</xdr:row>
      <xdr:rowOff>57150</xdr:rowOff>
    </xdr:from>
    <xdr:ext cx="0" cy="38100"/>
    <xdr:pic>
      <xdr:nvPicPr>
        <xdr:cNvPr id="119" name="image11.png">
          <a:extLst>
            <a:ext uri="{FF2B5EF4-FFF2-40B4-BE49-F238E27FC236}">
              <a16:creationId xmlns:a16="http://schemas.microsoft.com/office/drawing/2014/main" id="{00000000-0008-0000-2200-00007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8</xdr:row>
      <xdr:rowOff>57150</xdr:rowOff>
    </xdr:from>
    <xdr:ext cx="0" cy="38100"/>
    <xdr:pic>
      <xdr:nvPicPr>
        <xdr:cNvPr id="120" name="image13.png">
          <a:extLst>
            <a:ext uri="{FF2B5EF4-FFF2-40B4-BE49-F238E27FC236}">
              <a16:creationId xmlns:a16="http://schemas.microsoft.com/office/drawing/2014/main" id="{00000000-0008-0000-2200-00007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8</xdr:row>
      <xdr:rowOff>57150</xdr:rowOff>
    </xdr:from>
    <xdr:ext cx="0" cy="38100"/>
    <xdr:pic>
      <xdr:nvPicPr>
        <xdr:cNvPr id="121" name="image11.png">
          <a:extLst>
            <a:ext uri="{FF2B5EF4-FFF2-40B4-BE49-F238E27FC236}">
              <a16:creationId xmlns:a16="http://schemas.microsoft.com/office/drawing/2014/main" id="{00000000-0008-0000-2200-00007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11</xdr:row>
      <xdr:rowOff>57150</xdr:rowOff>
    </xdr:from>
    <xdr:ext cx="0" cy="38100"/>
    <xdr:pic>
      <xdr:nvPicPr>
        <xdr:cNvPr id="122" name="image11.png">
          <a:extLst>
            <a:ext uri="{FF2B5EF4-FFF2-40B4-BE49-F238E27FC236}">
              <a16:creationId xmlns:a16="http://schemas.microsoft.com/office/drawing/2014/main" id="{00000000-0008-0000-2200-00007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11</xdr:row>
      <xdr:rowOff>57150</xdr:rowOff>
    </xdr:from>
    <xdr:ext cx="0" cy="38100"/>
    <xdr:pic>
      <xdr:nvPicPr>
        <xdr:cNvPr id="123" name="image13.png">
          <a:extLst>
            <a:ext uri="{FF2B5EF4-FFF2-40B4-BE49-F238E27FC236}">
              <a16:creationId xmlns:a16="http://schemas.microsoft.com/office/drawing/2014/main" id="{00000000-0008-0000-2200-00007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11</xdr:row>
      <xdr:rowOff>57150</xdr:rowOff>
    </xdr:from>
    <xdr:ext cx="0" cy="38100"/>
    <xdr:pic>
      <xdr:nvPicPr>
        <xdr:cNvPr id="124" name="image11.png">
          <a:extLst>
            <a:ext uri="{FF2B5EF4-FFF2-40B4-BE49-F238E27FC236}">
              <a16:creationId xmlns:a16="http://schemas.microsoft.com/office/drawing/2014/main" id="{00000000-0008-0000-2200-00007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11</xdr:row>
      <xdr:rowOff>57150</xdr:rowOff>
    </xdr:from>
    <xdr:ext cx="0" cy="38100"/>
    <xdr:pic>
      <xdr:nvPicPr>
        <xdr:cNvPr id="125" name="image11.png">
          <a:extLst>
            <a:ext uri="{FF2B5EF4-FFF2-40B4-BE49-F238E27FC236}">
              <a16:creationId xmlns:a16="http://schemas.microsoft.com/office/drawing/2014/main" id="{00000000-0008-0000-2200-00007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11</xdr:row>
      <xdr:rowOff>57150</xdr:rowOff>
    </xdr:from>
    <xdr:ext cx="0" cy="38100"/>
    <xdr:pic>
      <xdr:nvPicPr>
        <xdr:cNvPr id="126" name="image13.png">
          <a:extLst>
            <a:ext uri="{FF2B5EF4-FFF2-40B4-BE49-F238E27FC236}">
              <a16:creationId xmlns:a16="http://schemas.microsoft.com/office/drawing/2014/main" id="{00000000-0008-0000-2200-00007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11</xdr:row>
      <xdr:rowOff>57150</xdr:rowOff>
    </xdr:from>
    <xdr:ext cx="0" cy="38100"/>
    <xdr:pic>
      <xdr:nvPicPr>
        <xdr:cNvPr id="127" name="image11.png">
          <a:extLst>
            <a:ext uri="{FF2B5EF4-FFF2-40B4-BE49-F238E27FC236}">
              <a16:creationId xmlns:a16="http://schemas.microsoft.com/office/drawing/2014/main" id="{00000000-0008-0000-2200-00007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11</xdr:row>
      <xdr:rowOff>57150</xdr:rowOff>
    </xdr:from>
    <xdr:ext cx="0" cy="38100"/>
    <xdr:pic>
      <xdr:nvPicPr>
        <xdr:cNvPr id="128" name="image11.png">
          <a:extLst>
            <a:ext uri="{FF2B5EF4-FFF2-40B4-BE49-F238E27FC236}">
              <a16:creationId xmlns:a16="http://schemas.microsoft.com/office/drawing/2014/main" id="{00000000-0008-0000-2200-00008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11</xdr:row>
      <xdr:rowOff>57150</xdr:rowOff>
    </xdr:from>
    <xdr:ext cx="0" cy="38100"/>
    <xdr:pic>
      <xdr:nvPicPr>
        <xdr:cNvPr id="129" name="image13.png">
          <a:extLst>
            <a:ext uri="{FF2B5EF4-FFF2-40B4-BE49-F238E27FC236}">
              <a16:creationId xmlns:a16="http://schemas.microsoft.com/office/drawing/2014/main" id="{00000000-0008-0000-2200-00008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11</xdr:row>
      <xdr:rowOff>57150</xdr:rowOff>
    </xdr:from>
    <xdr:ext cx="0" cy="38100"/>
    <xdr:pic>
      <xdr:nvPicPr>
        <xdr:cNvPr id="130" name="image11.png">
          <a:extLst>
            <a:ext uri="{FF2B5EF4-FFF2-40B4-BE49-F238E27FC236}">
              <a16:creationId xmlns:a16="http://schemas.microsoft.com/office/drawing/2014/main" id="{00000000-0008-0000-2200-00008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11</xdr:row>
      <xdr:rowOff>57150</xdr:rowOff>
    </xdr:from>
    <xdr:ext cx="0" cy="38100"/>
    <xdr:pic>
      <xdr:nvPicPr>
        <xdr:cNvPr id="131" name="image11.png">
          <a:extLst>
            <a:ext uri="{FF2B5EF4-FFF2-40B4-BE49-F238E27FC236}">
              <a16:creationId xmlns:a16="http://schemas.microsoft.com/office/drawing/2014/main" id="{00000000-0008-0000-2200-00008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11</xdr:row>
      <xdr:rowOff>57150</xdr:rowOff>
    </xdr:from>
    <xdr:ext cx="0" cy="38100"/>
    <xdr:pic>
      <xdr:nvPicPr>
        <xdr:cNvPr id="132" name="image13.png">
          <a:extLst>
            <a:ext uri="{FF2B5EF4-FFF2-40B4-BE49-F238E27FC236}">
              <a16:creationId xmlns:a16="http://schemas.microsoft.com/office/drawing/2014/main" id="{00000000-0008-0000-2200-00008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11</xdr:row>
      <xdr:rowOff>57150</xdr:rowOff>
    </xdr:from>
    <xdr:ext cx="0" cy="38100"/>
    <xdr:pic>
      <xdr:nvPicPr>
        <xdr:cNvPr id="133" name="image11.png">
          <a:extLst>
            <a:ext uri="{FF2B5EF4-FFF2-40B4-BE49-F238E27FC236}">
              <a16:creationId xmlns:a16="http://schemas.microsoft.com/office/drawing/2014/main" id="{00000000-0008-0000-2200-00008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12</xdr:row>
      <xdr:rowOff>57150</xdr:rowOff>
    </xdr:from>
    <xdr:ext cx="0" cy="38100"/>
    <xdr:pic>
      <xdr:nvPicPr>
        <xdr:cNvPr id="134" name="image11.png">
          <a:extLst>
            <a:ext uri="{FF2B5EF4-FFF2-40B4-BE49-F238E27FC236}">
              <a16:creationId xmlns:a16="http://schemas.microsoft.com/office/drawing/2014/main" id="{00000000-0008-0000-2200-00008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12</xdr:row>
      <xdr:rowOff>57150</xdr:rowOff>
    </xdr:from>
    <xdr:ext cx="0" cy="38100"/>
    <xdr:pic>
      <xdr:nvPicPr>
        <xdr:cNvPr id="135" name="image13.png">
          <a:extLst>
            <a:ext uri="{FF2B5EF4-FFF2-40B4-BE49-F238E27FC236}">
              <a16:creationId xmlns:a16="http://schemas.microsoft.com/office/drawing/2014/main" id="{00000000-0008-0000-2200-00008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12</xdr:row>
      <xdr:rowOff>57150</xdr:rowOff>
    </xdr:from>
    <xdr:ext cx="0" cy="38100"/>
    <xdr:pic>
      <xdr:nvPicPr>
        <xdr:cNvPr id="136" name="image11.png">
          <a:extLst>
            <a:ext uri="{FF2B5EF4-FFF2-40B4-BE49-F238E27FC236}">
              <a16:creationId xmlns:a16="http://schemas.microsoft.com/office/drawing/2014/main" id="{00000000-0008-0000-2200-00008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12</xdr:row>
      <xdr:rowOff>57150</xdr:rowOff>
    </xdr:from>
    <xdr:ext cx="0" cy="38100"/>
    <xdr:pic>
      <xdr:nvPicPr>
        <xdr:cNvPr id="137" name="image11.png">
          <a:extLst>
            <a:ext uri="{FF2B5EF4-FFF2-40B4-BE49-F238E27FC236}">
              <a16:creationId xmlns:a16="http://schemas.microsoft.com/office/drawing/2014/main" id="{00000000-0008-0000-2200-00008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12</xdr:row>
      <xdr:rowOff>57150</xdr:rowOff>
    </xdr:from>
    <xdr:ext cx="0" cy="38100"/>
    <xdr:pic>
      <xdr:nvPicPr>
        <xdr:cNvPr id="138" name="image13.png">
          <a:extLst>
            <a:ext uri="{FF2B5EF4-FFF2-40B4-BE49-F238E27FC236}">
              <a16:creationId xmlns:a16="http://schemas.microsoft.com/office/drawing/2014/main" id="{00000000-0008-0000-2200-00008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12</xdr:row>
      <xdr:rowOff>57150</xdr:rowOff>
    </xdr:from>
    <xdr:ext cx="0" cy="38100"/>
    <xdr:pic>
      <xdr:nvPicPr>
        <xdr:cNvPr id="139" name="image11.png">
          <a:extLst>
            <a:ext uri="{FF2B5EF4-FFF2-40B4-BE49-F238E27FC236}">
              <a16:creationId xmlns:a16="http://schemas.microsoft.com/office/drawing/2014/main" id="{00000000-0008-0000-2200-00008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13</xdr:row>
      <xdr:rowOff>57150</xdr:rowOff>
    </xdr:from>
    <xdr:ext cx="0" cy="38100"/>
    <xdr:pic>
      <xdr:nvPicPr>
        <xdr:cNvPr id="140" name="image11.png">
          <a:extLst>
            <a:ext uri="{FF2B5EF4-FFF2-40B4-BE49-F238E27FC236}">
              <a16:creationId xmlns:a16="http://schemas.microsoft.com/office/drawing/2014/main" id="{00000000-0008-0000-2200-00008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13</xdr:row>
      <xdr:rowOff>57150</xdr:rowOff>
    </xdr:from>
    <xdr:ext cx="0" cy="38100"/>
    <xdr:pic>
      <xdr:nvPicPr>
        <xdr:cNvPr id="141" name="image13.png">
          <a:extLst>
            <a:ext uri="{FF2B5EF4-FFF2-40B4-BE49-F238E27FC236}">
              <a16:creationId xmlns:a16="http://schemas.microsoft.com/office/drawing/2014/main" id="{00000000-0008-0000-2200-00008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13</xdr:row>
      <xdr:rowOff>57150</xdr:rowOff>
    </xdr:from>
    <xdr:ext cx="0" cy="38100"/>
    <xdr:pic>
      <xdr:nvPicPr>
        <xdr:cNvPr id="142" name="image11.png">
          <a:extLst>
            <a:ext uri="{FF2B5EF4-FFF2-40B4-BE49-F238E27FC236}">
              <a16:creationId xmlns:a16="http://schemas.microsoft.com/office/drawing/2014/main" id="{00000000-0008-0000-2200-00008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13</xdr:row>
      <xdr:rowOff>57150</xdr:rowOff>
    </xdr:from>
    <xdr:ext cx="0" cy="38100"/>
    <xdr:pic>
      <xdr:nvPicPr>
        <xdr:cNvPr id="143" name="image11.png">
          <a:extLst>
            <a:ext uri="{FF2B5EF4-FFF2-40B4-BE49-F238E27FC236}">
              <a16:creationId xmlns:a16="http://schemas.microsoft.com/office/drawing/2014/main" id="{00000000-0008-0000-2200-00008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13</xdr:row>
      <xdr:rowOff>57150</xdr:rowOff>
    </xdr:from>
    <xdr:ext cx="0" cy="38100"/>
    <xdr:pic>
      <xdr:nvPicPr>
        <xdr:cNvPr id="144" name="image13.png">
          <a:extLst>
            <a:ext uri="{FF2B5EF4-FFF2-40B4-BE49-F238E27FC236}">
              <a16:creationId xmlns:a16="http://schemas.microsoft.com/office/drawing/2014/main" id="{00000000-0008-0000-2200-00009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13</xdr:row>
      <xdr:rowOff>57150</xdr:rowOff>
    </xdr:from>
    <xdr:ext cx="0" cy="38100"/>
    <xdr:pic>
      <xdr:nvPicPr>
        <xdr:cNvPr id="145" name="image11.png">
          <a:extLst>
            <a:ext uri="{FF2B5EF4-FFF2-40B4-BE49-F238E27FC236}">
              <a16:creationId xmlns:a16="http://schemas.microsoft.com/office/drawing/2014/main" id="{00000000-0008-0000-2200-00009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46" name="image11.png">
          <a:extLst>
            <a:ext uri="{FF2B5EF4-FFF2-40B4-BE49-F238E27FC236}">
              <a16:creationId xmlns:a16="http://schemas.microsoft.com/office/drawing/2014/main" id="{00000000-0008-0000-2200-00009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47" name="image13.png">
          <a:extLst>
            <a:ext uri="{FF2B5EF4-FFF2-40B4-BE49-F238E27FC236}">
              <a16:creationId xmlns:a16="http://schemas.microsoft.com/office/drawing/2014/main" id="{00000000-0008-0000-2200-00009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48" name="image11.png">
          <a:extLst>
            <a:ext uri="{FF2B5EF4-FFF2-40B4-BE49-F238E27FC236}">
              <a16:creationId xmlns:a16="http://schemas.microsoft.com/office/drawing/2014/main" id="{00000000-0008-0000-2200-00009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49" name="image11.png">
          <a:extLst>
            <a:ext uri="{FF2B5EF4-FFF2-40B4-BE49-F238E27FC236}">
              <a16:creationId xmlns:a16="http://schemas.microsoft.com/office/drawing/2014/main" id="{00000000-0008-0000-2200-00009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50" name="image13.png">
          <a:extLst>
            <a:ext uri="{FF2B5EF4-FFF2-40B4-BE49-F238E27FC236}">
              <a16:creationId xmlns:a16="http://schemas.microsoft.com/office/drawing/2014/main" id="{00000000-0008-0000-2200-00009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51" name="image11.png">
          <a:extLst>
            <a:ext uri="{FF2B5EF4-FFF2-40B4-BE49-F238E27FC236}">
              <a16:creationId xmlns:a16="http://schemas.microsoft.com/office/drawing/2014/main" id="{00000000-0008-0000-2200-00009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52" name="image11.png">
          <a:extLst>
            <a:ext uri="{FF2B5EF4-FFF2-40B4-BE49-F238E27FC236}">
              <a16:creationId xmlns:a16="http://schemas.microsoft.com/office/drawing/2014/main" id="{00000000-0008-0000-2200-00009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53" name="image13.png">
          <a:extLst>
            <a:ext uri="{FF2B5EF4-FFF2-40B4-BE49-F238E27FC236}">
              <a16:creationId xmlns:a16="http://schemas.microsoft.com/office/drawing/2014/main" id="{00000000-0008-0000-2200-00009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54" name="image11.png">
          <a:extLst>
            <a:ext uri="{FF2B5EF4-FFF2-40B4-BE49-F238E27FC236}">
              <a16:creationId xmlns:a16="http://schemas.microsoft.com/office/drawing/2014/main" id="{00000000-0008-0000-2200-00009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55" name="image11.png">
          <a:extLst>
            <a:ext uri="{FF2B5EF4-FFF2-40B4-BE49-F238E27FC236}">
              <a16:creationId xmlns:a16="http://schemas.microsoft.com/office/drawing/2014/main" id="{00000000-0008-0000-2200-00009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56" name="image13.png">
          <a:extLst>
            <a:ext uri="{FF2B5EF4-FFF2-40B4-BE49-F238E27FC236}">
              <a16:creationId xmlns:a16="http://schemas.microsoft.com/office/drawing/2014/main" id="{00000000-0008-0000-2200-00009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57" name="image11.png">
          <a:extLst>
            <a:ext uri="{FF2B5EF4-FFF2-40B4-BE49-F238E27FC236}">
              <a16:creationId xmlns:a16="http://schemas.microsoft.com/office/drawing/2014/main" id="{00000000-0008-0000-2200-00009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58" name="image11.png">
          <a:extLst>
            <a:ext uri="{FF2B5EF4-FFF2-40B4-BE49-F238E27FC236}">
              <a16:creationId xmlns:a16="http://schemas.microsoft.com/office/drawing/2014/main" id="{00000000-0008-0000-2200-00009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59" name="image13.png">
          <a:extLst>
            <a:ext uri="{FF2B5EF4-FFF2-40B4-BE49-F238E27FC236}">
              <a16:creationId xmlns:a16="http://schemas.microsoft.com/office/drawing/2014/main" id="{00000000-0008-0000-2200-00009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60" name="image11.png">
          <a:extLst>
            <a:ext uri="{FF2B5EF4-FFF2-40B4-BE49-F238E27FC236}">
              <a16:creationId xmlns:a16="http://schemas.microsoft.com/office/drawing/2014/main" id="{00000000-0008-0000-2200-0000A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61" name="image11.png">
          <a:extLst>
            <a:ext uri="{FF2B5EF4-FFF2-40B4-BE49-F238E27FC236}">
              <a16:creationId xmlns:a16="http://schemas.microsoft.com/office/drawing/2014/main" id="{00000000-0008-0000-2200-0000A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62" name="image13.png">
          <a:extLst>
            <a:ext uri="{FF2B5EF4-FFF2-40B4-BE49-F238E27FC236}">
              <a16:creationId xmlns:a16="http://schemas.microsoft.com/office/drawing/2014/main" id="{00000000-0008-0000-2200-0000A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63" name="image11.png">
          <a:extLst>
            <a:ext uri="{FF2B5EF4-FFF2-40B4-BE49-F238E27FC236}">
              <a16:creationId xmlns:a16="http://schemas.microsoft.com/office/drawing/2014/main" id="{00000000-0008-0000-2200-0000A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64" name="image11.png">
          <a:extLst>
            <a:ext uri="{FF2B5EF4-FFF2-40B4-BE49-F238E27FC236}">
              <a16:creationId xmlns:a16="http://schemas.microsoft.com/office/drawing/2014/main" id="{00000000-0008-0000-2200-0000A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65" name="image13.png">
          <a:extLst>
            <a:ext uri="{FF2B5EF4-FFF2-40B4-BE49-F238E27FC236}">
              <a16:creationId xmlns:a16="http://schemas.microsoft.com/office/drawing/2014/main" id="{00000000-0008-0000-2200-0000A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66" name="image11.png">
          <a:extLst>
            <a:ext uri="{FF2B5EF4-FFF2-40B4-BE49-F238E27FC236}">
              <a16:creationId xmlns:a16="http://schemas.microsoft.com/office/drawing/2014/main" id="{00000000-0008-0000-2200-0000A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67" name="image11.png">
          <a:extLst>
            <a:ext uri="{FF2B5EF4-FFF2-40B4-BE49-F238E27FC236}">
              <a16:creationId xmlns:a16="http://schemas.microsoft.com/office/drawing/2014/main" id="{00000000-0008-0000-2200-0000A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68" name="image13.png">
          <a:extLst>
            <a:ext uri="{FF2B5EF4-FFF2-40B4-BE49-F238E27FC236}">
              <a16:creationId xmlns:a16="http://schemas.microsoft.com/office/drawing/2014/main" id="{00000000-0008-0000-2200-0000A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69" name="image11.png">
          <a:extLst>
            <a:ext uri="{FF2B5EF4-FFF2-40B4-BE49-F238E27FC236}">
              <a16:creationId xmlns:a16="http://schemas.microsoft.com/office/drawing/2014/main" id="{00000000-0008-0000-2200-0000A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70" name="image11.png">
          <a:extLst>
            <a:ext uri="{FF2B5EF4-FFF2-40B4-BE49-F238E27FC236}">
              <a16:creationId xmlns:a16="http://schemas.microsoft.com/office/drawing/2014/main" id="{00000000-0008-0000-2200-0000A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71" name="image13.png">
          <a:extLst>
            <a:ext uri="{FF2B5EF4-FFF2-40B4-BE49-F238E27FC236}">
              <a16:creationId xmlns:a16="http://schemas.microsoft.com/office/drawing/2014/main" id="{00000000-0008-0000-2200-0000A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72" name="image11.png">
          <a:extLst>
            <a:ext uri="{FF2B5EF4-FFF2-40B4-BE49-F238E27FC236}">
              <a16:creationId xmlns:a16="http://schemas.microsoft.com/office/drawing/2014/main" id="{00000000-0008-0000-2200-0000A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73" name="image11.png">
          <a:extLst>
            <a:ext uri="{FF2B5EF4-FFF2-40B4-BE49-F238E27FC236}">
              <a16:creationId xmlns:a16="http://schemas.microsoft.com/office/drawing/2014/main" id="{00000000-0008-0000-2200-0000A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74" name="image13.png">
          <a:extLst>
            <a:ext uri="{FF2B5EF4-FFF2-40B4-BE49-F238E27FC236}">
              <a16:creationId xmlns:a16="http://schemas.microsoft.com/office/drawing/2014/main" id="{00000000-0008-0000-2200-0000A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75" name="image11.png">
          <a:extLst>
            <a:ext uri="{FF2B5EF4-FFF2-40B4-BE49-F238E27FC236}">
              <a16:creationId xmlns:a16="http://schemas.microsoft.com/office/drawing/2014/main" id="{00000000-0008-0000-2200-0000A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76" name="image11.png">
          <a:extLst>
            <a:ext uri="{FF2B5EF4-FFF2-40B4-BE49-F238E27FC236}">
              <a16:creationId xmlns:a16="http://schemas.microsoft.com/office/drawing/2014/main" id="{00000000-0008-0000-2200-0000B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77" name="image13.png">
          <a:extLst>
            <a:ext uri="{FF2B5EF4-FFF2-40B4-BE49-F238E27FC236}">
              <a16:creationId xmlns:a16="http://schemas.microsoft.com/office/drawing/2014/main" id="{00000000-0008-0000-2200-0000B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78" name="image11.png">
          <a:extLst>
            <a:ext uri="{FF2B5EF4-FFF2-40B4-BE49-F238E27FC236}">
              <a16:creationId xmlns:a16="http://schemas.microsoft.com/office/drawing/2014/main" id="{00000000-0008-0000-2200-0000B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79" name="image11.png">
          <a:extLst>
            <a:ext uri="{FF2B5EF4-FFF2-40B4-BE49-F238E27FC236}">
              <a16:creationId xmlns:a16="http://schemas.microsoft.com/office/drawing/2014/main" id="{00000000-0008-0000-2200-0000B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80" name="image13.png">
          <a:extLst>
            <a:ext uri="{FF2B5EF4-FFF2-40B4-BE49-F238E27FC236}">
              <a16:creationId xmlns:a16="http://schemas.microsoft.com/office/drawing/2014/main" id="{00000000-0008-0000-2200-0000B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81" name="image11.png">
          <a:extLst>
            <a:ext uri="{FF2B5EF4-FFF2-40B4-BE49-F238E27FC236}">
              <a16:creationId xmlns:a16="http://schemas.microsoft.com/office/drawing/2014/main" id="{00000000-0008-0000-2200-0000B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82" name="image11.png">
          <a:extLst>
            <a:ext uri="{FF2B5EF4-FFF2-40B4-BE49-F238E27FC236}">
              <a16:creationId xmlns:a16="http://schemas.microsoft.com/office/drawing/2014/main" id="{00000000-0008-0000-2200-0000B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83" name="image13.png">
          <a:extLst>
            <a:ext uri="{FF2B5EF4-FFF2-40B4-BE49-F238E27FC236}">
              <a16:creationId xmlns:a16="http://schemas.microsoft.com/office/drawing/2014/main" id="{00000000-0008-0000-2200-0000B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84" name="image11.png">
          <a:extLst>
            <a:ext uri="{FF2B5EF4-FFF2-40B4-BE49-F238E27FC236}">
              <a16:creationId xmlns:a16="http://schemas.microsoft.com/office/drawing/2014/main" id="{00000000-0008-0000-2200-0000B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85" name="image11.png">
          <a:extLst>
            <a:ext uri="{FF2B5EF4-FFF2-40B4-BE49-F238E27FC236}">
              <a16:creationId xmlns:a16="http://schemas.microsoft.com/office/drawing/2014/main" id="{00000000-0008-0000-2200-0000B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86" name="image13.png">
          <a:extLst>
            <a:ext uri="{FF2B5EF4-FFF2-40B4-BE49-F238E27FC236}">
              <a16:creationId xmlns:a16="http://schemas.microsoft.com/office/drawing/2014/main" id="{00000000-0008-0000-2200-0000B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87" name="image11.png">
          <a:extLst>
            <a:ext uri="{FF2B5EF4-FFF2-40B4-BE49-F238E27FC236}">
              <a16:creationId xmlns:a16="http://schemas.microsoft.com/office/drawing/2014/main" id="{00000000-0008-0000-2200-0000B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88" name="image11.png">
          <a:extLst>
            <a:ext uri="{FF2B5EF4-FFF2-40B4-BE49-F238E27FC236}">
              <a16:creationId xmlns:a16="http://schemas.microsoft.com/office/drawing/2014/main" id="{00000000-0008-0000-2200-0000B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89" name="image13.png">
          <a:extLst>
            <a:ext uri="{FF2B5EF4-FFF2-40B4-BE49-F238E27FC236}">
              <a16:creationId xmlns:a16="http://schemas.microsoft.com/office/drawing/2014/main" id="{00000000-0008-0000-2200-0000B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90" name="image11.png">
          <a:extLst>
            <a:ext uri="{FF2B5EF4-FFF2-40B4-BE49-F238E27FC236}">
              <a16:creationId xmlns:a16="http://schemas.microsoft.com/office/drawing/2014/main" id="{00000000-0008-0000-2200-0000B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91" name="image11.png">
          <a:extLst>
            <a:ext uri="{FF2B5EF4-FFF2-40B4-BE49-F238E27FC236}">
              <a16:creationId xmlns:a16="http://schemas.microsoft.com/office/drawing/2014/main" id="{00000000-0008-0000-2200-0000B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92" name="image13.png">
          <a:extLst>
            <a:ext uri="{FF2B5EF4-FFF2-40B4-BE49-F238E27FC236}">
              <a16:creationId xmlns:a16="http://schemas.microsoft.com/office/drawing/2014/main" id="{00000000-0008-0000-2200-0000C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93" name="image11.png">
          <a:extLst>
            <a:ext uri="{FF2B5EF4-FFF2-40B4-BE49-F238E27FC236}">
              <a16:creationId xmlns:a16="http://schemas.microsoft.com/office/drawing/2014/main" id="{00000000-0008-0000-2200-0000C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94" name="image11.png">
          <a:extLst>
            <a:ext uri="{FF2B5EF4-FFF2-40B4-BE49-F238E27FC236}">
              <a16:creationId xmlns:a16="http://schemas.microsoft.com/office/drawing/2014/main" id="{00000000-0008-0000-2200-0000C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95" name="image13.png">
          <a:extLst>
            <a:ext uri="{FF2B5EF4-FFF2-40B4-BE49-F238E27FC236}">
              <a16:creationId xmlns:a16="http://schemas.microsoft.com/office/drawing/2014/main" id="{00000000-0008-0000-2200-0000C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96" name="image11.png">
          <a:extLst>
            <a:ext uri="{FF2B5EF4-FFF2-40B4-BE49-F238E27FC236}">
              <a16:creationId xmlns:a16="http://schemas.microsoft.com/office/drawing/2014/main" id="{00000000-0008-0000-2200-0000C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97" name="image11.png">
          <a:extLst>
            <a:ext uri="{FF2B5EF4-FFF2-40B4-BE49-F238E27FC236}">
              <a16:creationId xmlns:a16="http://schemas.microsoft.com/office/drawing/2014/main" id="{00000000-0008-0000-2200-0000C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98" name="image13.png">
          <a:extLst>
            <a:ext uri="{FF2B5EF4-FFF2-40B4-BE49-F238E27FC236}">
              <a16:creationId xmlns:a16="http://schemas.microsoft.com/office/drawing/2014/main" id="{00000000-0008-0000-2200-0000C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199" name="image11.png">
          <a:extLst>
            <a:ext uri="{FF2B5EF4-FFF2-40B4-BE49-F238E27FC236}">
              <a16:creationId xmlns:a16="http://schemas.microsoft.com/office/drawing/2014/main" id="{00000000-0008-0000-2200-0000C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00" name="image11.png">
          <a:extLst>
            <a:ext uri="{FF2B5EF4-FFF2-40B4-BE49-F238E27FC236}">
              <a16:creationId xmlns:a16="http://schemas.microsoft.com/office/drawing/2014/main" id="{00000000-0008-0000-2200-0000C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01" name="image13.png">
          <a:extLst>
            <a:ext uri="{FF2B5EF4-FFF2-40B4-BE49-F238E27FC236}">
              <a16:creationId xmlns:a16="http://schemas.microsoft.com/office/drawing/2014/main" id="{00000000-0008-0000-2200-0000C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02" name="image11.png">
          <a:extLst>
            <a:ext uri="{FF2B5EF4-FFF2-40B4-BE49-F238E27FC236}">
              <a16:creationId xmlns:a16="http://schemas.microsoft.com/office/drawing/2014/main" id="{00000000-0008-0000-2200-0000C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03" name="image11.png">
          <a:extLst>
            <a:ext uri="{FF2B5EF4-FFF2-40B4-BE49-F238E27FC236}">
              <a16:creationId xmlns:a16="http://schemas.microsoft.com/office/drawing/2014/main" id="{00000000-0008-0000-2200-0000C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04" name="image13.png">
          <a:extLst>
            <a:ext uri="{FF2B5EF4-FFF2-40B4-BE49-F238E27FC236}">
              <a16:creationId xmlns:a16="http://schemas.microsoft.com/office/drawing/2014/main" id="{00000000-0008-0000-2200-0000C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05" name="image11.png">
          <a:extLst>
            <a:ext uri="{FF2B5EF4-FFF2-40B4-BE49-F238E27FC236}">
              <a16:creationId xmlns:a16="http://schemas.microsoft.com/office/drawing/2014/main" id="{00000000-0008-0000-2200-0000C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06" name="image11.png">
          <a:extLst>
            <a:ext uri="{FF2B5EF4-FFF2-40B4-BE49-F238E27FC236}">
              <a16:creationId xmlns:a16="http://schemas.microsoft.com/office/drawing/2014/main" id="{00000000-0008-0000-2200-0000C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07" name="image13.png">
          <a:extLst>
            <a:ext uri="{FF2B5EF4-FFF2-40B4-BE49-F238E27FC236}">
              <a16:creationId xmlns:a16="http://schemas.microsoft.com/office/drawing/2014/main" id="{00000000-0008-0000-2200-0000C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08" name="image11.png">
          <a:extLst>
            <a:ext uri="{FF2B5EF4-FFF2-40B4-BE49-F238E27FC236}">
              <a16:creationId xmlns:a16="http://schemas.microsoft.com/office/drawing/2014/main" id="{00000000-0008-0000-2200-0000D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09" name="image11.png">
          <a:extLst>
            <a:ext uri="{FF2B5EF4-FFF2-40B4-BE49-F238E27FC236}">
              <a16:creationId xmlns:a16="http://schemas.microsoft.com/office/drawing/2014/main" id="{00000000-0008-0000-2200-0000D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10" name="image13.png">
          <a:extLst>
            <a:ext uri="{FF2B5EF4-FFF2-40B4-BE49-F238E27FC236}">
              <a16:creationId xmlns:a16="http://schemas.microsoft.com/office/drawing/2014/main" id="{00000000-0008-0000-2200-0000D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11" name="image11.png">
          <a:extLst>
            <a:ext uri="{FF2B5EF4-FFF2-40B4-BE49-F238E27FC236}">
              <a16:creationId xmlns:a16="http://schemas.microsoft.com/office/drawing/2014/main" id="{00000000-0008-0000-2200-0000D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12" name="image11.png">
          <a:extLst>
            <a:ext uri="{FF2B5EF4-FFF2-40B4-BE49-F238E27FC236}">
              <a16:creationId xmlns:a16="http://schemas.microsoft.com/office/drawing/2014/main" id="{00000000-0008-0000-2200-0000D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13" name="image13.png">
          <a:extLst>
            <a:ext uri="{FF2B5EF4-FFF2-40B4-BE49-F238E27FC236}">
              <a16:creationId xmlns:a16="http://schemas.microsoft.com/office/drawing/2014/main" id="{00000000-0008-0000-2200-0000D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14" name="image11.png">
          <a:extLst>
            <a:ext uri="{FF2B5EF4-FFF2-40B4-BE49-F238E27FC236}">
              <a16:creationId xmlns:a16="http://schemas.microsoft.com/office/drawing/2014/main" id="{00000000-0008-0000-2200-0000D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15" name="image11.png">
          <a:extLst>
            <a:ext uri="{FF2B5EF4-FFF2-40B4-BE49-F238E27FC236}">
              <a16:creationId xmlns:a16="http://schemas.microsoft.com/office/drawing/2014/main" id="{00000000-0008-0000-2200-0000D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16" name="image13.png">
          <a:extLst>
            <a:ext uri="{FF2B5EF4-FFF2-40B4-BE49-F238E27FC236}">
              <a16:creationId xmlns:a16="http://schemas.microsoft.com/office/drawing/2014/main" id="{00000000-0008-0000-2200-0000D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17" name="image11.png">
          <a:extLst>
            <a:ext uri="{FF2B5EF4-FFF2-40B4-BE49-F238E27FC236}">
              <a16:creationId xmlns:a16="http://schemas.microsoft.com/office/drawing/2014/main" id="{00000000-0008-0000-2200-0000D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18" name="image11.png">
          <a:extLst>
            <a:ext uri="{FF2B5EF4-FFF2-40B4-BE49-F238E27FC236}">
              <a16:creationId xmlns:a16="http://schemas.microsoft.com/office/drawing/2014/main" id="{00000000-0008-0000-2200-0000D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19" name="image13.png">
          <a:extLst>
            <a:ext uri="{FF2B5EF4-FFF2-40B4-BE49-F238E27FC236}">
              <a16:creationId xmlns:a16="http://schemas.microsoft.com/office/drawing/2014/main" id="{00000000-0008-0000-2200-0000D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20" name="image11.png">
          <a:extLst>
            <a:ext uri="{FF2B5EF4-FFF2-40B4-BE49-F238E27FC236}">
              <a16:creationId xmlns:a16="http://schemas.microsoft.com/office/drawing/2014/main" id="{00000000-0008-0000-2200-0000D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21" name="image11.png">
          <a:extLst>
            <a:ext uri="{FF2B5EF4-FFF2-40B4-BE49-F238E27FC236}">
              <a16:creationId xmlns:a16="http://schemas.microsoft.com/office/drawing/2014/main" id="{00000000-0008-0000-2200-0000D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22" name="image13.png">
          <a:extLst>
            <a:ext uri="{FF2B5EF4-FFF2-40B4-BE49-F238E27FC236}">
              <a16:creationId xmlns:a16="http://schemas.microsoft.com/office/drawing/2014/main" id="{00000000-0008-0000-2200-0000D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23" name="image11.png">
          <a:extLst>
            <a:ext uri="{FF2B5EF4-FFF2-40B4-BE49-F238E27FC236}">
              <a16:creationId xmlns:a16="http://schemas.microsoft.com/office/drawing/2014/main" id="{00000000-0008-0000-2200-0000D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24" name="image11.png">
          <a:extLst>
            <a:ext uri="{FF2B5EF4-FFF2-40B4-BE49-F238E27FC236}">
              <a16:creationId xmlns:a16="http://schemas.microsoft.com/office/drawing/2014/main" id="{00000000-0008-0000-2200-0000E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25" name="image13.png">
          <a:extLst>
            <a:ext uri="{FF2B5EF4-FFF2-40B4-BE49-F238E27FC236}">
              <a16:creationId xmlns:a16="http://schemas.microsoft.com/office/drawing/2014/main" id="{00000000-0008-0000-2200-0000E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26" name="image11.png">
          <a:extLst>
            <a:ext uri="{FF2B5EF4-FFF2-40B4-BE49-F238E27FC236}">
              <a16:creationId xmlns:a16="http://schemas.microsoft.com/office/drawing/2014/main" id="{00000000-0008-0000-2200-0000E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27" name="image11.png">
          <a:extLst>
            <a:ext uri="{FF2B5EF4-FFF2-40B4-BE49-F238E27FC236}">
              <a16:creationId xmlns:a16="http://schemas.microsoft.com/office/drawing/2014/main" id="{00000000-0008-0000-2200-0000E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28" name="image13.png">
          <a:extLst>
            <a:ext uri="{FF2B5EF4-FFF2-40B4-BE49-F238E27FC236}">
              <a16:creationId xmlns:a16="http://schemas.microsoft.com/office/drawing/2014/main" id="{00000000-0008-0000-2200-0000E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29" name="image11.png">
          <a:extLst>
            <a:ext uri="{FF2B5EF4-FFF2-40B4-BE49-F238E27FC236}">
              <a16:creationId xmlns:a16="http://schemas.microsoft.com/office/drawing/2014/main" id="{00000000-0008-0000-2200-0000E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30" name="image11.png">
          <a:extLst>
            <a:ext uri="{FF2B5EF4-FFF2-40B4-BE49-F238E27FC236}">
              <a16:creationId xmlns:a16="http://schemas.microsoft.com/office/drawing/2014/main" id="{00000000-0008-0000-2200-0000E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31" name="image13.png">
          <a:extLst>
            <a:ext uri="{FF2B5EF4-FFF2-40B4-BE49-F238E27FC236}">
              <a16:creationId xmlns:a16="http://schemas.microsoft.com/office/drawing/2014/main" id="{00000000-0008-0000-2200-0000E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32" name="image11.png">
          <a:extLst>
            <a:ext uri="{FF2B5EF4-FFF2-40B4-BE49-F238E27FC236}">
              <a16:creationId xmlns:a16="http://schemas.microsoft.com/office/drawing/2014/main" id="{00000000-0008-0000-2200-0000E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33" name="image11.png">
          <a:extLst>
            <a:ext uri="{FF2B5EF4-FFF2-40B4-BE49-F238E27FC236}">
              <a16:creationId xmlns:a16="http://schemas.microsoft.com/office/drawing/2014/main" id="{00000000-0008-0000-2200-0000E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34" name="image13.png">
          <a:extLst>
            <a:ext uri="{FF2B5EF4-FFF2-40B4-BE49-F238E27FC236}">
              <a16:creationId xmlns:a16="http://schemas.microsoft.com/office/drawing/2014/main" id="{00000000-0008-0000-2200-0000E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35" name="image11.png">
          <a:extLst>
            <a:ext uri="{FF2B5EF4-FFF2-40B4-BE49-F238E27FC236}">
              <a16:creationId xmlns:a16="http://schemas.microsoft.com/office/drawing/2014/main" id="{00000000-0008-0000-2200-0000E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36" name="image11.png">
          <a:extLst>
            <a:ext uri="{FF2B5EF4-FFF2-40B4-BE49-F238E27FC236}">
              <a16:creationId xmlns:a16="http://schemas.microsoft.com/office/drawing/2014/main" id="{00000000-0008-0000-2200-0000E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37" name="image13.png">
          <a:extLst>
            <a:ext uri="{FF2B5EF4-FFF2-40B4-BE49-F238E27FC236}">
              <a16:creationId xmlns:a16="http://schemas.microsoft.com/office/drawing/2014/main" id="{00000000-0008-0000-2200-0000E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38" name="image11.png">
          <a:extLst>
            <a:ext uri="{FF2B5EF4-FFF2-40B4-BE49-F238E27FC236}">
              <a16:creationId xmlns:a16="http://schemas.microsoft.com/office/drawing/2014/main" id="{00000000-0008-0000-2200-0000E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39" name="image11.png">
          <a:extLst>
            <a:ext uri="{FF2B5EF4-FFF2-40B4-BE49-F238E27FC236}">
              <a16:creationId xmlns:a16="http://schemas.microsoft.com/office/drawing/2014/main" id="{00000000-0008-0000-2200-0000E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40" name="image13.png">
          <a:extLst>
            <a:ext uri="{FF2B5EF4-FFF2-40B4-BE49-F238E27FC236}">
              <a16:creationId xmlns:a16="http://schemas.microsoft.com/office/drawing/2014/main" id="{00000000-0008-0000-2200-0000F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41" name="image11.png">
          <a:extLst>
            <a:ext uri="{FF2B5EF4-FFF2-40B4-BE49-F238E27FC236}">
              <a16:creationId xmlns:a16="http://schemas.microsoft.com/office/drawing/2014/main" id="{00000000-0008-0000-2200-0000F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42" name="image11.png">
          <a:extLst>
            <a:ext uri="{FF2B5EF4-FFF2-40B4-BE49-F238E27FC236}">
              <a16:creationId xmlns:a16="http://schemas.microsoft.com/office/drawing/2014/main" id="{00000000-0008-0000-2200-0000F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43" name="image13.png">
          <a:extLst>
            <a:ext uri="{FF2B5EF4-FFF2-40B4-BE49-F238E27FC236}">
              <a16:creationId xmlns:a16="http://schemas.microsoft.com/office/drawing/2014/main" id="{00000000-0008-0000-2200-0000F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44" name="image11.png">
          <a:extLst>
            <a:ext uri="{FF2B5EF4-FFF2-40B4-BE49-F238E27FC236}">
              <a16:creationId xmlns:a16="http://schemas.microsoft.com/office/drawing/2014/main" id="{00000000-0008-0000-2200-0000F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45" name="image11.png">
          <a:extLst>
            <a:ext uri="{FF2B5EF4-FFF2-40B4-BE49-F238E27FC236}">
              <a16:creationId xmlns:a16="http://schemas.microsoft.com/office/drawing/2014/main" id="{00000000-0008-0000-2200-0000F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46" name="image13.png">
          <a:extLst>
            <a:ext uri="{FF2B5EF4-FFF2-40B4-BE49-F238E27FC236}">
              <a16:creationId xmlns:a16="http://schemas.microsoft.com/office/drawing/2014/main" id="{00000000-0008-0000-2200-0000F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47" name="image11.png">
          <a:extLst>
            <a:ext uri="{FF2B5EF4-FFF2-40B4-BE49-F238E27FC236}">
              <a16:creationId xmlns:a16="http://schemas.microsoft.com/office/drawing/2014/main" id="{00000000-0008-0000-2200-0000F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48" name="image11.png">
          <a:extLst>
            <a:ext uri="{FF2B5EF4-FFF2-40B4-BE49-F238E27FC236}">
              <a16:creationId xmlns:a16="http://schemas.microsoft.com/office/drawing/2014/main" id="{00000000-0008-0000-2200-0000F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49" name="image13.png">
          <a:extLst>
            <a:ext uri="{FF2B5EF4-FFF2-40B4-BE49-F238E27FC236}">
              <a16:creationId xmlns:a16="http://schemas.microsoft.com/office/drawing/2014/main" id="{00000000-0008-0000-2200-0000F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50" name="image11.png">
          <a:extLst>
            <a:ext uri="{FF2B5EF4-FFF2-40B4-BE49-F238E27FC236}">
              <a16:creationId xmlns:a16="http://schemas.microsoft.com/office/drawing/2014/main" id="{00000000-0008-0000-2200-0000F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51" name="image11.png">
          <a:extLst>
            <a:ext uri="{FF2B5EF4-FFF2-40B4-BE49-F238E27FC236}">
              <a16:creationId xmlns:a16="http://schemas.microsoft.com/office/drawing/2014/main" id="{00000000-0008-0000-2200-0000F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52" name="image13.png">
          <a:extLst>
            <a:ext uri="{FF2B5EF4-FFF2-40B4-BE49-F238E27FC236}">
              <a16:creationId xmlns:a16="http://schemas.microsoft.com/office/drawing/2014/main" id="{00000000-0008-0000-2200-0000F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53" name="image11.png">
          <a:extLst>
            <a:ext uri="{FF2B5EF4-FFF2-40B4-BE49-F238E27FC236}">
              <a16:creationId xmlns:a16="http://schemas.microsoft.com/office/drawing/2014/main" id="{00000000-0008-0000-2200-0000F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54" name="image11.png">
          <a:extLst>
            <a:ext uri="{FF2B5EF4-FFF2-40B4-BE49-F238E27FC236}">
              <a16:creationId xmlns:a16="http://schemas.microsoft.com/office/drawing/2014/main" id="{00000000-0008-0000-2200-0000F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55" name="image13.png">
          <a:extLst>
            <a:ext uri="{FF2B5EF4-FFF2-40B4-BE49-F238E27FC236}">
              <a16:creationId xmlns:a16="http://schemas.microsoft.com/office/drawing/2014/main" id="{00000000-0008-0000-2200-0000F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56" name="image11.png">
          <a:extLst>
            <a:ext uri="{FF2B5EF4-FFF2-40B4-BE49-F238E27FC236}">
              <a16:creationId xmlns:a16="http://schemas.microsoft.com/office/drawing/2014/main" id="{00000000-0008-0000-2200-00000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57" name="image11.png">
          <a:extLst>
            <a:ext uri="{FF2B5EF4-FFF2-40B4-BE49-F238E27FC236}">
              <a16:creationId xmlns:a16="http://schemas.microsoft.com/office/drawing/2014/main" id="{00000000-0008-0000-2200-00000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58" name="image13.png">
          <a:extLst>
            <a:ext uri="{FF2B5EF4-FFF2-40B4-BE49-F238E27FC236}">
              <a16:creationId xmlns:a16="http://schemas.microsoft.com/office/drawing/2014/main" id="{00000000-0008-0000-2200-00000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0</xdr:rowOff>
    </xdr:from>
    <xdr:ext cx="0" cy="38100"/>
    <xdr:pic>
      <xdr:nvPicPr>
        <xdr:cNvPr id="259" name="image11.png">
          <a:extLst>
            <a:ext uri="{FF2B5EF4-FFF2-40B4-BE49-F238E27FC236}">
              <a16:creationId xmlns:a16="http://schemas.microsoft.com/office/drawing/2014/main" id="{00000000-0008-0000-2200-00000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57150</xdr:rowOff>
    </xdr:from>
    <xdr:ext cx="0" cy="38100"/>
    <xdr:pic>
      <xdr:nvPicPr>
        <xdr:cNvPr id="260" name="image11.png">
          <a:extLst>
            <a:ext uri="{FF2B5EF4-FFF2-40B4-BE49-F238E27FC236}">
              <a16:creationId xmlns:a16="http://schemas.microsoft.com/office/drawing/2014/main" id="{00000000-0008-0000-2200-00000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57150</xdr:rowOff>
    </xdr:from>
    <xdr:ext cx="0" cy="38100"/>
    <xdr:pic>
      <xdr:nvPicPr>
        <xdr:cNvPr id="261" name="image13.png">
          <a:extLst>
            <a:ext uri="{FF2B5EF4-FFF2-40B4-BE49-F238E27FC236}">
              <a16:creationId xmlns:a16="http://schemas.microsoft.com/office/drawing/2014/main" id="{00000000-0008-0000-2200-00000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57150</xdr:rowOff>
    </xdr:from>
    <xdr:ext cx="0" cy="38100"/>
    <xdr:pic>
      <xdr:nvPicPr>
        <xdr:cNvPr id="262" name="image11.png">
          <a:extLst>
            <a:ext uri="{FF2B5EF4-FFF2-40B4-BE49-F238E27FC236}">
              <a16:creationId xmlns:a16="http://schemas.microsoft.com/office/drawing/2014/main" id="{00000000-0008-0000-2200-00000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57150</xdr:rowOff>
    </xdr:from>
    <xdr:ext cx="0" cy="38100"/>
    <xdr:pic>
      <xdr:nvPicPr>
        <xdr:cNvPr id="263" name="image11.png">
          <a:extLst>
            <a:ext uri="{FF2B5EF4-FFF2-40B4-BE49-F238E27FC236}">
              <a16:creationId xmlns:a16="http://schemas.microsoft.com/office/drawing/2014/main" id="{00000000-0008-0000-2200-00000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14</xdr:row>
      <xdr:rowOff>57150</xdr:rowOff>
    </xdr:from>
    <xdr:ext cx="0" cy="38100"/>
    <xdr:pic>
      <xdr:nvPicPr>
        <xdr:cNvPr id="264" name="image13.png">
          <a:extLst>
            <a:ext uri="{FF2B5EF4-FFF2-40B4-BE49-F238E27FC236}">
              <a16:creationId xmlns:a16="http://schemas.microsoft.com/office/drawing/2014/main" id="{00000000-0008-0000-2200-00000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14</xdr:row>
      <xdr:rowOff>57150</xdr:rowOff>
    </xdr:from>
    <xdr:ext cx="0" cy="38100"/>
    <xdr:pic>
      <xdr:nvPicPr>
        <xdr:cNvPr id="265" name="image11.png">
          <a:extLst>
            <a:ext uri="{FF2B5EF4-FFF2-40B4-BE49-F238E27FC236}">
              <a16:creationId xmlns:a16="http://schemas.microsoft.com/office/drawing/2014/main" id="{00000000-0008-0000-2200-00000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0</xdr:colOff>
      <xdr:row>8</xdr:row>
      <xdr:rowOff>0</xdr:rowOff>
    </xdr:from>
    <xdr:ext cx="0" cy="38100"/>
    <xdr:pic>
      <xdr:nvPicPr>
        <xdr:cNvPr id="266" name="image11.png">
          <a:extLst>
            <a:ext uri="{FF2B5EF4-FFF2-40B4-BE49-F238E27FC236}">
              <a16:creationId xmlns:a16="http://schemas.microsoft.com/office/drawing/2014/main" id="{00000000-0008-0000-2200-00000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0</xdr:colOff>
      <xdr:row>8</xdr:row>
      <xdr:rowOff>0</xdr:rowOff>
    </xdr:from>
    <xdr:ext cx="0" cy="38100"/>
    <xdr:pic>
      <xdr:nvPicPr>
        <xdr:cNvPr id="267" name="image13.png">
          <a:extLst>
            <a:ext uri="{FF2B5EF4-FFF2-40B4-BE49-F238E27FC236}">
              <a16:creationId xmlns:a16="http://schemas.microsoft.com/office/drawing/2014/main" id="{00000000-0008-0000-2200-00000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0</xdr:colOff>
      <xdr:row>8</xdr:row>
      <xdr:rowOff>0</xdr:rowOff>
    </xdr:from>
    <xdr:ext cx="0" cy="38100"/>
    <xdr:pic>
      <xdr:nvPicPr>
        <xdr:cNvPr id="268" name="image11.png">
          <a:extLst>
            <a:ext uri="{FF2B5EF4-FFF2-40B4-BE49-F238E27FC236}">
              <a16:creationId xmlns:a16="http://schemas.microsoft.com/office/drawing/2014/main" id="{00000000-0008-0000-2200-00000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0</xdr:colOff>
      <xdr:row>8</xdr:row>
      <xdr:rowOff>0</xdr:rowOff>
    </xdr:from>
    <xdr:ext cx="0" cy="38100"/>
    <xdr:pic>
      <xdr:nvPicPr>
        <xdr:cNvPr id="269" name="image11.png">
          <a:extLst>
            <a:ext uri="{FF2B5EF4-FFF2-40B4-BE49-F238E27FC236}">
              <a16:creationId xmlns:a16="http://schemas.microsoft.com/office/drawing/2014/main" id="{00000000-0008-0000-2200-00000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0</xdr:colOff>
      <xdr:row>8</xdr:row>
      <xdr:rowOff>0</xdr:rowOff>
    </xdr:from>
    <xdr:ext cx="0" cy="38100"/>
    <xdr:pic>
      <xdr:nvPicPr>
        <xdr:cNvPr id="270" name="image13.png">
          <a:extLst>
            <a:ext uri="{FF2B5EF4-FFF2-40B4-BE49-F238E27FC236}">
              <a16:creationId xmlns:a16="http://schemas.microsoft.com/office/drawing/2014/main" id="{00000000-0008-0000-2200-00000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0</xdr:colOff>
      <xdr:row>8</xdr:row>
      <xdr:rowOff>0</xdr:rowOff>
    </xdr:from>
    <xdr:ext cx="0" cy="38100"/>
    <xdr:pic>
      <xdr:nvPicPr>
        <xdr:cNvPr id="271" name="image11.png">
          <a:extLst>
            <a:ext uri="{FF2B5EF4-FFF2-40B4-BE49-F238E27FC236}">
              <a16:creationId xmlns:a16="http://schemas.microsoft.com/office/drawing/2014/main" id="{00000000-0008-0000-2200-00000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14</xdr:row>
      <xdr:rowOff>0</xdr:rowOff>
    </xdr:from>
    <xdr:ext cx="0" cy="361950"/>
    <xdr:pic>
      <xdr:nvPicPr>
        <xdr:cNvPr id="272" name="image2.png">
          <a:extLst>
            <a:ext uri="{FF2B5EF4-FFF2-40B4-BE49-F238E27FC236}">
              <a16:creationId xmlns:a16="http://schemas.microsoft.com/office/drawing/2014/main" id="{00000000-0008-0000-2200-00001001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1</xdr:row>
      <xdr:rowOff>57150</xdr:rowOff>
    </xdr:from>
    <xdr:ext cx="0" cy="38100"/>
    <xdr:pic>
      <xdr:nvPicPr>
        <xdr:cNvPr id="2" name="image11.png">
          <a:extLst>
            <a:ext uri="{FF2B5EF4-FFF2-40B4-BE49-F238E27FC236}">
              <a16:creationId xmlns:a16="http://schemas.microsoft.com/office/drawing/2014/main" id="{00000000-0008-0000-3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xdr:row>
      <xdr:rowOff>57150</xdr:rowOff>
    </xdr:from>
    <xdr:ext cx="0" cy="38100"/>
    <xdr:pic>
      <xdr:nvPicPr>
        <xdr:cNvPr id="3" name="image13.png">
          <a:extLst>
            <a:ext uri="{FF2B5EF4-FFF2-40B4-BE49-F238E27FC236}">
              <a16:creationId xmlns:a16="http://schemas.microsoft.com/office/drawing/2014/main" id="{00000000-0008-0000-3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xdr:row>
      <xdr:rowOff>57150</xdr:rowOff>
    </xdr:from>
    <xdr:ext cx="0" cy="38100"/>
    <xdr:pic>
      <xdr:nvPicPr>
        <xdr:cNvPr id="4" name="image11.png">
          <a:extLst>
            <a:ext uri="{FF2B5EF4-FFF2-40B4-BE49-F238E27FC236}">
              <a16:creationId xmlns:a16="http://schemas.microsoft.com/office/drawing/2014/main" id="{00000000-0008-0000-35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66675</xdr:rowOff>
    </xdr:from>
    <xdr:ext cx="0" cy="285750"/>
    <xdr:pic>
      <xdr:nvPicPr>
        <xdr:cNvPr id="5" name="image9.png">
          <a:extLst>
            <a:ext uri="{FF2B5EF4-FFF2-40B4-BE49-F238E27FC236}">
              <a16:creationId xmlns:a16="http://schemas.microsoft.com/office/drawing/2014/main" id="{00000000-0008-0000-35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0</xdr:colOff>
      <xdr:row>19</xdr:row>
      <xdr:rowOff>66675</xdr:rowOff>
    </xdr:from>
    <xdr:ext cx="0" cy="285750"/>
    <xdr:pic>
      <xdr:nvPicPr>
        <xdr:cNvPr id="6" name="image8.png">
          <a:extLst>
            <a:ext uri="{FF2B5EF4-FFF2-40B4-BE49-F238E27FC236}">
              <a16:creationId xmlns:a16="http://schemas.microsoft.com/office/drawing/2014/main" id="{00000000-0008-0000-35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4</xdr:col>
      <xdr:colOff>0</xdr:colOff>
      <xdr:row>19</xdr:row>
      <xdr:rowOff>66675</xdr:rowOff>
    </xdr:from>
    <xdr:ext cx="0" cy="285750"/>
    <xdr:pic>
      <xdr:nvPicPr>
        <xdr:cNvPr id="7" name="image9.png">
          <a:extLst>
            <a:ext uri="{FF2B5EF4-FFF2-40B4-BE49-F238E27FC236}">
              <a16:creationId xmlns:a16="http://schemas.microsoft.com/office/drawing/2014/main" id="{00000000-0008-0000-35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0</xdr:colOff>
      <xdr:row>19</xdr:row>
      <xdr:rowOff>66675</xdr:rowOff>
    </xdr:from>
    <xdr:ext cx="0" cy="361950"/>
    <xdr:pic>
      <xdr:nvPicPr>
        <xdr:cNvPr id="8" name="image4.png">
          <a:extLst>
            <a:ext uri="{FF2B5EF4-FFF2-40B4-BE49-F238E27FC236}">
              <a16:creationId xmlns:a16="http://schemas.microsoft.com/office/drawing/2014/main" id="{00000000-0008-0000-3500-000008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4</xdr:col>
      <xdr:colOff>0</xdr:colOff>
      <xdr:row>19</xdr:row>
      <xdr:rowOff>66675</xdr:rowOff>
    </xdr:from>
    <xdr:ext cx="0" cy="361950"/>
    <xdr:pic>
      <xdr:nvPicPr>
        <xdr:cNvPr id="9" name="image2.png">
          <a:extLst>
            <a:ext uri="{FF2B5EF4-FFF2-40B4-BE49-F238E27FC236}">
              <a16:creationId xmlns:a16="http://schemas.microsoft.com/office/drawing/2014/main" id="{00000000-0008-0000-3500-000009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4</xdr:col>
      <xdr:colOff>0</xdr:colOff>
      <xdr:row>19</xdr:row>
      <xdr:rowOff>66675</xdr:rowOff>
    </xdr:from>
    <xdr:ext cx="0" cy="361950"/>
    <xdr:pic>
      <xdr:nvPicPr>
        <xdr:cNvPr id="10" name="image4.png">
          <a:extLst>
            <a:ext uri="{FF2B5EF4-FFF2-40B4-BE49-F238E27FC236}">
              <a16:creationId xmlns:a16="http://schemas.microsoft.com/office/drawing/2014/main" id="{00000000-0008-0000-3500-00000A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1" name="image15.png">
          <a:extLst>
            <a:ext uri="{FF2B5EF4-FFF2-40B4-BE49-F238E27FC236}">
              <a16:creationId xmlns:a16="http://schemas.microsoft.com/office/drawing/2014/main" id="{00000000-0008-0000-3500-00000B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2" name="image17.png">
          <a:extLst>
            <a:ext uri="{FF2B5EF4-FFF2-40B4-BE49-F238E27FC236}">
              <a16:creationId xmlns:a16="http://schemas.microsoft.com/office/drawing/2014/main" id="{00000000-0008-0000-3500-00000C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3" name="image15.png">
          <a:extLst>
            <a:ext uri="{FF2B5EF4-FFF2-40B4-BE49-F238E27FC236}">
              <a16:creationId xmlns:a16="http://schemas.microsoft.com/office/drawing/2014/main" id="{00000000-0008-0000-3500-00000D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4" name="image3.png">
          <a:extLst>
            <a:ext uri="{FF2B5EF4-FFF2-40B4-BE49-F238E27FC236}">
              <a16:creationId xmlns:a16="http://schemas.microsoft.com/office/drawing/2014/main" id="{00000000-0008-0000-3500-00000E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5" name="image16.png">
          <a:extLst>
            <a:ext uri="{FF2B5EF4-FFF2-40B4-BE49-F238E27FC236}">
              <a16:creationId xmlns:a16="http://schemas.microsoft.com/office/drawing/2014/main" id="{00000000-0008-0000-3500-00000F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6" name="image3.png">
          <a:extLst>
            <a:ext uri="{FF2B5EF4-FFF2-40B4-BE49-F238E27FC236}">
              <a16:creationId xmlns:a16="http://schemas.microsoft.com/office/drawing/2014/main" id="{00000000-0008-0000-3500-000010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7" name="image12.png">
          <a:extLst>
            <a:ext uri="{FF2B5EF4-FFF2-40B4-BE49-F238E27FC236}">
              <a16:creationId xmlns:a16="http://schemas.microsoft.com/office/drawing/2014/main" id="{00000000-0008-0000-3500-000011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8" name="image7.png">
          <a:extLst>
            <a:ext uri="{FF2B5EF4-FFF2-40B4-BE49-F238E27FC236}">
              <a16:creationId xmlns:a16="http://schemas.microsoft.com/office/drawing/2014/main" id="{00000000-0008-0000-3500-000012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9" name="image12.png">
          <a:extLst>
            <a:ext uri="{FF2B5EF4-FFF2-40B4-BE49-F238E27FC236}">
              <a16:creationId xmlns:a16="http://schemas.microsoft.com/office/drawing/2014/main" id="{00000000-0008-0000-3500-000013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0" name="image12.png">
          <a:extLst>
            <a:ext uri="{FF2B5EF4-FFF2-40B4-BE49-F238E27FC236}">
              <a16:creationId xmlns:a16="http://schemas.microsoft.com/office/drawing/2014/main" id="{00000000-0008-0000-3500-000014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1" name="image7.png">
          <a:extLst>
            <a:ext uri="{FF2B5EF4-FFF2-40B4-BE49-F238E27FC236}">
              <a16:creationId xmlns:a16="http://schemas.microsoft.com/office/drawing/2014/main" id="{00000000-0008-0000-3500-000015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2" name="image12.png">
          <a:extLst>
            <a:ext uri="{FF2B5EF4-FFF2-40B4-BE49-F238E27FC236}">
              <a16:creationId xmlns:a16="http://schemas.microsoft.com/office/drawing/2014/main" id="{00000000-0008-0000-3500-000016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20</xdr:row>
      <xdr:rowOff>66675</xdr:rowOff>
    </xdr:from>
    <xdr:ext cx="0" cy="704850"/>
    <xdr:pic>
      <xdr:nvPicPr>
        <xdr:cNvPr id="23" name="image5.png">
          <a:extLst>
            <a:ext uri="{FF2B5EF4-FFF2-40B4-BE49-F238E27FC236}">
              <a16:creationId xmlns:a16="http://schemas.microsoft.com/office/drawing/2014/main" id="{00000000-0008-0000-3500-000017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4</xdr:col>
      <xdr:colOff>0</xdr:colOff>
      <xdr:row>20</xdr:row>
      <xdr:rowOff>66675</xdr:rowOff>
    </xdr:from>
    <xdr:ext cx="0" cy="704850"/>
    <xdr:pic>
      <xdr:nvPicPr>
        <xdr:cNvPr id="24" name="image14.png">
          <a:extLst>
            <a:ext uri="{FF2B5EF4-FFF2-40B4-BE49-F238E27FC236}">
              <a16:creationId xmlns:a16="http://schemas.microsoft.com/office/drawing/2014/main" id="{00000000-0008-0000-3500-000018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4</xdr:col>
      <xdr:colOff>0</xdr:colOff>
      <xdr:row>20</xdr:row>
      <xdr:rowOff>66675</xdr:rowOff>
    </xdr:from>
    <xdr:ext cx="0" cy="704850"/>
    <xdr:pic>
      <xdr:nvPicPr>
        <xdr:cNvPr id="25" name="image5.png">
          <a:extLst>
            <a:ext uri="{FF2B5EF4-FFF2-40B4-BE49-F238E27FC236}">
              <a16:creationId xmlns:a16="http://schemas.microsoft.com/office/drawing/2014/main" id="{00000000-0008-0000-3500-000019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4</xdr:col>
      <xdr:colOff>0</xdr:colOff>
      <xdr:row>24</xdr:row>
      <xdr:rowOff>57150</xdr:rowOff>
    </xdr:from>
    <xdr:ext cx="0" cy="47625"/>
    <xdr:pic>
      <xdr:nvPicPr>
        <xdr:cNvPr id="26" name="image6.png">
          <a:extLst>
            <a:ext uri="{FF2B5EF4-FFF2-40B4-BE49-F238E27FC236}">
              <a16:creationId xmlns:a16="http://schemas.microsoft.com/office/drawing/2014/main" id="{00000000-0008-0000-3500-00001A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4</xdr:col>
      <xdr:colOff>0</xdr:colOff>
      <xdr:row>24</xdr:row>
      <xdr:rowOff>57150</xdr:rowOff>
    </xdr:from>
    <xdr:ext cx="0" cy="47625"/>
    <xdr:pic>
      <xdr:nvPicPr>
        <xdr:cNvPr id="27" name="image10.png">
          <a:extLst>
            <a:ext uri="{FF2B5EF4-FFF2-40B4-BE49-F238E27FC236}">
              <a16:creationId xmlns:a16="http://schemas.microsoft.com/office/drawing/2014/main" id="{00000000-0008-0000-3500-00001B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4</xdr:col>
      <xdr:colOff>0</xdr:colOff>
      <xdr:row>24</xdr:row>
      <xdr:rowOff>57150</xdr:rowOff>
    </xdr:from>
    <xdr:ext cx="0" cy="47625"/>
    <xdr:pic>
      <xdr:nvPicPr>
        <xdr:cNvPr id="28" name="image6.png">
          <a:extLst>
            <a:ext uri="{FF2B5EF4-FFF2-40B4-BE49-F238E27FC236}">
              <a16:creationId xmlns:a16="http://schemas.microsoft.com/office/drawing/2014/main" id="{00000000-0008-0000-3500-00001C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4</xdr:col>
      <xdr:colOff>0</xdr:colOff>
      <xdr:row>1</xdr:row>
      <xdr:rowOff>57150</xdr:rowOff>
    </xdr:from>
    <xdr:ext cx="0" cy="38100"/>
    <xdr:pic>
      <xdr:nvPicPr>
        <xdr:cNvPr id="29" name="image11.png">
          <a:extLst>
            <a:ext uri="{FF2B5EF4-FFF2-40B4-BE49-F238E27FC236}">
              <a16:creationId xmlns:a16="http://schemas.microsoft.com/office/drawing/2014/main" id="{00000000-0008-0000-3500-00001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xdr:row>
      <xdr:rowOff>57150</xdr:rowOff>
    </xdr:from>
    <xdr:ext cx="0" cy="38100"/>
    <xdr:pic>
      <xdr:nvPicPr>
        <xdr:cNvPr id="30" name="image13.png">
          <a:extLst>
            <a:ext uri="{FF2B5EF4-FFF2-40B4-BE49-F238E27FC236}">
              <a16:creationId xmlns:a16="http://schemas.microsoft.com/office/drawing/2014/main" id="{00000000-0008-0000-3500-00001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xdr:row>
      <xdr:rowOff>57150</xdr:rowOff>
    </xdr:from>
    <xdr:ext cx="0" cy="38100"/>
    <xdr:pic>
      <xdr:nvPicPr>
        <xdr:cNvPr id="31" name="image11.png">
          <a:extLst>
            <a:ext uri="{FF2B5EF4-FFF2-40B4-BE49-F238E27FC236}">
              <a16:creationId xmlns:a16="http://schemas.microsoft.com/office/drawing/2014/main" id="{00000000-0008-0000-35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66675</xdr:rowOff>
    </xdr:from>
    <xdr:ext cx="0" cy="285750"/>
    <xdr:pic>
      <xdr:nvPicPr>
        <xdr:cNvPr id="32" name="image9.png">
          <a:extLst>
            <a:ext uri="{FF2B5EF4-FFF2-40B4-BE49-F238E27FC236}">
              <a16:creationId xmlns:a16="http://schemas.microsoft.com/office/drawing/2014/main" id="{00000000-0008-0000-3500-000020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0</xdr:colOff>
      <xdr:row>19</xdr:row>
      <xdr:rowOff>66675</xdr:rowOff>
    </xdr:from>
    <xdr:ext cx="0" cy="285750"/>
    <xdr:pic>
      <xdr:nvPicPr>
        <xdr:cNvPr id="33" name="image8.png">
          <a:extLst>
            <a:ext uri="{FF2B5EF4-FFF2-40B4-BE49-F238E27FC236}">
              <a16:creationId xmlns:a16="http://schemas.microsoft.com/office/drawing/2014/main" id="{00000000-0008-0000-3500-000021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4</xdr:col>
      <xdr:colOff>0</xdr:colOff>
      <xdr:row>19</xdr:row>
      <xdr:rowOff>66675</xdr:rowOff>
    </xdr:from>
    <xdr:ext cx="0" cy="285750"/>
    <xdr:pic>
      <xdr:nvPicPr>
        <xdr:cNvPr id="34" name="image9.png">
          <a:extLst>
            <a:ext uri="{FF2B5EF4-FFF2-40B4-BE49-F238E27FC236}">
              <a16:creationId xmlns:a16="http://schemas.microsoft.com/office/drawing/2014/main" id="{00000000-0008-0000-3500-00002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0</xdr:colOff>
      <xdr:row>19</xdr:row>
      <xdr:rowOff>66675</xdr:rowOff>
    </xdr:from>
    <xdr:ext cx="0" cy="361950"/>
    <xdr:pic>
      <xdr:nvPicPr>
        <xdr:cNvPr id="35" name="image4.png">
          <a:extLst>
            <a:ext uri="{FF2B5EF4-FFF2-40B4-BE49-F238E27FC236}">
              <a16:creationId xmlns:a16="http://schemas.microsoft.com/office/drawing/2014/main" id="{00000000-0008-0000-3500-000023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4</xdr:col>
      <xdr:colOff>0</xdr:colOff>
      <xdr:row>19</xdr:row>
      <xdr:rowOff>66675</xdr:rowOff>
    </xdr:from>
    <xdr:ext cx="0" cy="361950"/>
    <xdr:pic>
      <xdr:nvPicPr>
        <xdr:cNvPr id="36" name="image2.png">
          <a:extLst>
            <a:ext uri="{FF2B5EF4-FFF2-40B4-BE49-F238E27FC236}">
              <a16:creationId xmlns:a16="http://schemas.microsoft.com/office/drawing/2014/main" id="{00000000-0008-0000-3500-000024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4</xdr:col>
      <xdr:colOff>0</xdr:colOff>
      <xdr:row>19</xdr:row>
      <xdr:rowOff>66675</xdr:rowOff>
    </xdr:from>
    <xdr:ext cx="0" cy="361950"/>
    <xdr:pic>
      <xdr:nvPicPr>
        <xdr:cNvPr id="37" name="image4.png">
          <a:extLst>
            <a:ext uri="{FF2B5EF4-FFF2-40B4-BE49-F238E27FC236}">
              <a16:creationId xmlns:a16="http://schemas.microsoft.com/office/drawing/2014/main" id="{00000000-0008-0000-3500-000025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38" name="image15.png">
          <a:extLst>
            <a:ext uri="{FF2B5EF4-FFF2-40B4-BE49-F238E27FC236}">
              <a16:creationId xmlns:a16="http://schemas.microsoft.com/office/drawing/2014/main" id="{00000000-0008-0000-3500-000026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39" name="image17.png">
          <a:extLst>
            <a:ext uri="{FF2B5EF4-FFF2-40B4-BE49-F238E27FC236}">
              <a16:creationId xmlns:a16="http://schemas.microsoft.com/office/drawing/2014/main" id="{00000000-0008-0000-3500-000027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40" name="image15.png">
          <a:extLst>
            <a:ext uri="{FF2B5EF4-FFF2-40B4-BE49-F238E27FC236}">
              <a16:creationId xmlns:a16="http://schemas.microsoft.com/office/drawing/2014/main" id="{00000000-0008-0000-3500-000028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41" name="image3.png">
          <a:extLst>
            <a:ext uri="{FF2B5EF4-FFF2-40B4-BE49-F238E27FC236}">
              <a16:creationId xmlns:a16="http://schemas.microsoft.com/office/drawing/2014/main" id="{00000000-0008-0000-3500-000029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42" name="image16.png">
          <a:extLst>
            <a:ext uri="{FF2B5EF4-FFF2-40B4-BE49-F238E27FC236}">
              <a16:creationId xmlns:a16="http://schemas.microsoft.com/office/drawing/2014/main" id="{00000000-0008-0000-3500-00002A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43" name="image3.png">
          <a:extLst>
            <a:ext uri="{FF2B5EF4-FFF2-40B4-BE49-F238E27FC236}">
              <a16:creationId xmlns:a16="http://schemas.microsoft.com/office/drawing/2014/main" id="{00000000-0008-0000-3500-00002B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44" name="image12.png">
          <a:extLst>
            <a:ext uri="{FF2B5EF4-FFF2-40B4-BE49-F238E27FC236}">
              <a16:creationId xmlns:a16="http://schemas.microsoft.com/office/drawing/2014/main" id="{00000000-0008-0000-3500-00002C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45" name="image7.png">
          <a:extLst>
            <a:ext uri="{FF2B5EF4-FFF2-40B4-BE49-F238E27FC236}">
              <a16:creationId xmlns:a16="http://schemas.microsoft.com/office/drawing/2014/main" id="{00000000-0008-0000-3500-00002D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46" name="image12.png">
          <a:extLst>
            <a:ext uri="{FF2B5EF4-FFF2-40B4-BE49-F238E27FC236}">
              <a16:creationId xmlns:a16="http://schemas.microsoft.com/office/drawing/2014/main" id="{00000000-0008-0000-3500-00002E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47" name="image12.png">
          <a:extLst>
            <a:ext uri="{FF2B5EF4-FFF2-40B4-BE49-F238E27FC236}">
              <a16:creationId xmlns:a16="http://schemas.microsoft.com/office/drawing/2014/main" id="{00000000-0008-0000-3500-00002F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48" name="image7.png">
          <a:extLst>
            <a:ext uri="{FF2B5EF4-FFF2-40B4-BE49-F238E27FC236}">
              <a16:creationId xmlns:a16="http://schemas.microsoft.com/office/drawing/2014/main" id="{00000000-0008-0000-3500-000030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49" name="image12.png">
          <a:extLst>
            <a:ext uri="{FF2B5EF4-FFF2-40B4-BE49-F238E27FC236}">
              <a16:creationId xmlns:a16="http://schemas.microsoft.com/office/drawing/2014/main" id="{00000000-0008-0000-3500-000031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4</xdr:col>
      <xdr:colOff>0</xdr:colOff>
      <xdr:row>20</xdr:row>
      <xdr:rowOff>66675</xdr:rowOff>
    </xdr:from>
    <xdr:ext cx="0" cy="704850"/>
    <xdr:pic>
      <xdr:nvPicPr>
        <xdr:cNvPr id="50" name="image5.png">
          <a:extLst>
            <a:ext uri="{FF2B5EF4-FFF2-40B4-BE49-F238E27FC236}">
              <a16:creationId xmlns:a16="http://schemas.microsoft.com/office/drawing/2014/main" id="{00000000-0008-0000-3500-000032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4</xdr:col>
      <xdr:colOff>0</xdr:colOff>
      <xdr:row>20</xdr:row>
      <xdr:rowOff>66675</xdr:rowOff>
    </xdr:from>
    <xdr:ext cx="0" cy="704850"/>
    <xdr:pic>
      <xdr:nvPicPr>
        <xdr:cNvPr id="51" name="image14.png">
          <a:extLst>
            <a:ext uri="{FF2B5EF4-FFF2-40B4-BE49-F238E27FC236}">
              <a16:creationId xmlns:a16="http://schemas.microsoft.com/office/drawing/2014/main" id="{00000000-0008-0000-3500-000033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4</xdr:col>
      <xdr:colOff>0</xdr:colOff>
      <xdr:row>20</xdr:row>
      <xdr:rowOff>66675</xdr:rowOff>
    </xdr:from>
    <xdr:ext cx="0" cy="704850"/>
    <xdr:pic>
      <xdr:nvPicPr>
        <xdr:cNvPr id="52" name="image5.png">
          <a:extLst>
            <a:ext uri="{FF2B5EF4-FFF2-40B4-BE49-F238E27FC236}">
              <a16:creationId xmlns:a16="http://schemas.microsoft.com/office/drawing/2014/main" id="{00000000-0008-0000-3500-000034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4</xdr:col>
      <xdr:colOff>0</xdr:colOff>
      <xdr:row>24</xdr:row>
      <xdr:rowOff>57150</xdr:rowOff>
    </xdr:from>
    <xdr:ext cx="0" cy="47625"/>
    <xdr:pic>
      <xdr:nvPicPr>
        <xdr:cNvPr id="53" name="image6.png">
          <a:extLst>
            <a:ext uri="{FF2B5EF4-FFF2-40B4-BE49-F238E27FC236}">
              <a16:creationId xmlns:a16="http://schemas.microsoft.com/office/drawing/2014/main" id="{00000000-0008-0000-3500-000035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4</xdr:col>
      <xdr:colOff>0</xdr:colOff>
      <xdr:row>24</xdr:row>
      <xdr:rowOff>57150</xdr:rowOff>
    </xdr:from>
    <xdr:ext cx="0" cy="47625"/>
    <xdr:pic>
      <xdr:nvPicPr>
        <xdr:cNvPr id="54" name="image10.png">
          <a:extLst>
            <a:ext uri="{FF2B5EF4-FFF2-40B4-BE49-F238E27FC236}">
              <a16:creationId xmlns:a16="http://schemas.microsoft.com/office/drawing/2014/main" id="{00000000-0008-0000-3500-000036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4</xdr:col>
      <xdr:colOff>0</xdr:colOff>
      <xdr:row>24</xdr:row>
      <xdr:rowOff>57150</xdr:rowOff>
    </xdr:from>
    <xdr:ext cx="0" cy="47625"/>
    <xdr:pic>
      <xdr:nvPicPr>
        <xdr:cNvPr id="55" name="image6.png">
          <a:extLst>
            <a:ext uri="{FF2B5EF4-FFF2-40B4-BE49-F238E27FC236}">
              <a16:creationId xmlns:a16="http://schemas.microsoft.com/office/drawing/2014/main" id="{00000000-0008-0000-3500-000037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1</xdr:col>
      <xdr:colOff>0</xdr:colOff>
      <xdr:row>1</xdr:row>
      <xdr:rowOff>57150</xdr:rowOff>
    </xdr:from>
    <xdr:ext cx="0" cy="38100"/>
    <xdr:pic>
      <xdr:nvPicPr>
        <xdr:cNvPr id="56" name="image11.png">
          <a:extLst>
            <a:ext uri="{FF2B5EF4-FFF2-40B4-BE49-F238E27FC236}">
              <a16:creationId xmlns:a16="http://schemas.microsoft.com/office/drawing/2014/main" id="{00000000-0008-0000-3500-00003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xdr:row>
      <xdr:rowOff>57150</xdr:rowOff>
    </xdr:from>
    <xdr:ext cx="0" cy="38100"/>
    <xdr:pic>
      <xdr:nvPicPr>
        <xdr:cNvPr id="57" name="image13.png">
          <a:extLst>
            <a:ext uri="{FF2B5EF4-FFF2-40B4-BE49-F238E27FC236}">
              <a16:creationId xmlns:a16="http://schemas.microsoft.com/office/drawing/2014/main" id="{00000000-0008-0000-3500-00003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0</xdr:colOff>
      <xdr:row>1</xdr:row>
      <xdr:rowOff>57150</xdr:rowOff>
    </xdr:from>
    <xdr:ext cx="0" cy="38100"/>
    <xdr:pic>
      <xdr:nvPicPr>
        <xdr:cNvPr id="58" name="image11.png">
          <a:extLst>
            <a:ext uri="{FF2B5EF4-FFF2-40B4-BE49-F238E27FC236}">
              <a16:creationId xmlns:a16="http://schemas.microsoft.com/office/drawing/2014/main" id="{00000000-0008-0000-3500-00003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19</xdr:row>
      <xdr:rowOff>66675</xdr:rowOff>
    </xdr:from>
    <xdr:ext cx="0" cy="285750"/>
    <xdr:pic>
      <xdr:nvPicPr>
        <xdr:cNvPr id="59" name="image9.png">
          <a:extLst>
            <a:ext uri="{FF2B5EF4-FFF2-40B4-BE49-F238E27FC236}">
              <a16:creationId xmlns:a16="http://schemas.microsoft.com/office/drawing/2014/main" id="{00000000-0008-0000-3500-00003B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0</xdr:colOff>
      <xdr:row>19</xdr:row>
      <xdr:rowOff>66675</xdr:rowOff>
    </xdr:from>
    <xdr:ext cx="0" cy="285750"/>
    <xdr:pic>
      <xdr:nvPicPr>
        <xdr:cNvPr id="60" name="image8.png">
          <a:extLst>
            <a:ext uri="{FF2B5EF4-FFF2-40B4-BE49-F238E27FC236}">
              <a16:creationId xmlns:a16="http://schemas.microsoft.com/office/drawing/2014/main" id="{00000000-0008-0000-3500-00003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0</xdr:colOff>
      <xdr:row>19</xdr:row>
      <xdr:rowOff>66675</xdr:rowOff>
    </xdr:from>
    <xdr:ext cx="0" cy="285750"/>
    <xdr:pic>
      <xdr:nvPicPr>
        <xdr:cNvPr id="61" name="image9.png">
          <a:extLst>
            <a:ext uri="{FF2B5EF4-FFF2-40B4-BE49-F238E27FC236}">
              <a16:creationId xmlns:a16="http://schemas.microsoft.com/office/drawing/2014/main" id="{00000000-0008-0000-3500-00003D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0</xdr:colOff>
      <xdr:row>19</xdr:row>
      <xdr:rowOff>66675</xdr:rowOff>
    </xdr:from>
    <xdr:ext cx="0" cy="361950"/>
    <xdr:pic>
      <xdr:nvPicPr>
        <xdr:cNvPr id="62" name="image4.png">
          <a:extLst>
            <a:ext uri="{FF2B5EF4-FFF2-40B4-BE49-F238E27FC236}">
              <a16:creationId xmlns:a16="http://schemas.microsoft.com/office/drawing/2014/main" id="{00000000-0008-0000-3500-00003E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xdr:col>
      <xdr:colOff>0</xdr:colOff>
      <xdr:row>19</xdr:row>
      <xdr:rowOff>66675</xdr:rowOff>
    </xdr:from>
    <xdr:ext cx="0" cy="361950"/>
    <xdr:pic>
      <xdr:nvPicPr>
        <xdr:cNvPr id="63" name="image2.png">
          <a:extLst>
            <a:ext uri="{FF2B5EF4-FFF2-40B4-BE49-F238E27FC236}">
              <a16:creationId xmlns:a16="http://schemas.microsoft.com/office/drawing/2014/main" id="{00000000-0008-0000-3500-00003F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1</xdr:col>
      <xdr:colOff>0</xdr:colOff>
      <xdr:row>19</xdr:row>
      <xdr:rowOff>66675</xdr:rowOff>
    </xdr:from>
    <xdr:ext cx="0" cy="361950"/>
    <xdr:pic>
      <xdr:nvPicPr>
        <xdr:cNvPr id="64" name="image4.png">
          <a:extLst>
            <a:ext uri="{FF2B5EF4-FFF2-40B4-BE49-F238E27FC236}">
              <a16:creationId xmlns:a16="http://schemas.microsoft.com/office/drawing/2014/main" id="{00000000-0008-0000-3500-000040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65" name="image15.png">
          <a:extLst>
            <a:ext uri="{FF2B5EF4-FFF2-40B4-BE49-F238E27FC236}">
              <a16:creationId xmlns:a16="http://schemas.microsoft.com/office/drawing/2014/main" id="{00000000-0008-0000-3500-000041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66" name="image17.png">
          <a:extLst>
            <a:ext uri="{FF2B5EF4-FFF2-40B4-BE49-F238E27FC236}">
              <a16:creationId xmlns:a16="http://schemas.microsoft.com/office/drawing/2014/main" id="{00000000-0008-0000-3500-00004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67" name="image15.png">
          <a:extLst>
            <a:ext uri="{FF2B5EF4-FFF2-40B4-BE49-F238E27FC236}">
              <a16:creationId xmlns:a16="http://schemas.microsoft.com/office/drawing/2014/main" id="{00000000-0008-0000-3500-000043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68" name="image3.png">
          <a:extLst>
            <a:ext uri="{FF2B5EF4-FFF2-40B4-BE49-F238E27FC236}">
              <a16:creationId xmlns:a16="http://schemas.microsoft.com/office/drawing/2014/main" id="{00000000-0008-0000-3500-000044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69" name="image16.png">
          <a:extLst>
            <a:ext uri="{FF2B5EF4-FFF2-40B4-BE49-F238E27FC236}">
              <a16:creationId xmlns:a16="http://schemas.microsoft.com/office/drawing/2014/main" id="{00000000-0008-0000-3500-000045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70" name="image3.png">
          <a:extLst>
            <a:ext uri="{FF2B5EF4-FFF2-40B4-BE49-F238E27FC236}">
              <a16:creationId xmlns:a16="http://schemas.microsoft.com/office/drawing/2014/main" id="{00000000-0008-0000-3500-000046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71" name="image12.png">
          <a:extLst>
            <a:ext uri="{FF2B5EF4-FFF2-40B4-BE49-F238E27FC236}">
              <a16:creationId xmlns:a16="http://schemas.microsoft.com/office/drawing/2014/main" id="{00000000-0008-0000-3500-000047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72" name="image7.png">
          <a:extLst>
            <a:ext uri="{FF2B5EF4-FFF2-40B4-BE49-F238E27FC236}">
              <a16:creationId xmlns:a16="http://schemas.microsoft.com/office/drawing/2014/main" id="{00000000-0008-0000-3500-000048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73" name="image12.png">
          <a:extLst>
            <a:ext uri="{FF2B5EF4-FFF2-40B4-BE49-F238E27FC236}">
              <a16:creationId xmlns:a16="http://schemas.microsoft.com/office/drawing/2014/main" id="{00000000-0008-0000-3500-000049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74" name="image12.png">
          <a:extLst>
            <a:ext uri="{FF2B5EF4-FFF2-40B4-BE49-F238E27FC236}">
              <a16:creationId xmlns:a16="http://schemas.microsoft.com/office/drawing/2014/main" id="{00000000-0008-0000-3500-00004A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75" name="image7.png">
          <a:extLst>
            <a:ext uri="{FF2B5EF4-FFF2-40B4-BE49-F238E27FC236}">
              <a16:creationId xmlns:a16="http://schemas.microsoft.com/office/drawing/2014/main" id="{00000000-0008-0000-3500-00004B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76" name="image12.png">
          <a:extLst>
            <a:ext uri="{FF2B5EF4-FFF2-40B4-BE49-F238E27FC236}">
              <a16:creationId xmlns:a16="http://schemas.microsoft.com/office/drawing/2014/main" id="{00000000-0008-0000-3500-00004C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20</xdr:row>
      <xdr:rowOff>66675</xdr:rowOff>
    </xdr:from>
    <xdr:ext cx="0" cy="704850"/>
    <xdr:pic>
      <xdr:nvPicPr>
        <xdr:cNvPr id="77" name="image5.png">
          <a:extLst>
            <a:ext uri="{FF2B5EF4-FFF2-40B4-BE49-F238E27FC236}">
              <a16:creationId xmlns:a16="http://schemas.microsoft.com/office/drawing/2014/main" id="{00000000-0008-0000-3500-00004D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1</xdr:col>
      <xdr:colOff>0</xdr:colOff>
      <xdr:row>20</xdr:row>
      <xdr:rowOff>66675</xdr:rowOff>
    </xdr:from>
    <xdr:ext cx="0" cy="704850"/>
    <xdr:pic>
      <xdr:nvPicPr>
        <xdr:cNvPr id="78" name="image14.png">
          <a:extLst>
            <a:ext uri="{FF2B5EF4-FFF2-40B4-BE49-F238E27FC236}">
              <a16:creationId xmlns:a16="http://schemas.microsoft.com/office/drawing/2014/main" id="{00000000-0008-0000-3500-00004E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1</xdr:col>
      <xdr:colOff>0</xdr:colOff>
      <xdr:row>20</xdr:row>
      <xdr:rowOff>66675</xdr:rowOff>
    </xdr:from>
    <xdr:ext cx="0" cy="704850"/>
    <xdr:pic>
      <xdr:nvPicPr>
        <xdr:cNvPr id="79" name="image5.png">
          <a:extLst>
            <a:ext uri="{FF2B5EF4-FFF2-40B4-BE49-F238E27FC236}">
              <a16:creationId xmlns:a16="http://schemas.microsoft.com/office/drawing/2014/main" id="{00000000-0008-0000-3500-00004F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1</xdr:col>
      <xdr:colOff>0</xdr:colOff>
      <xdr:row>24</xdr:row>
      <xdr:rowOff>57150</xdr:rowOff>
    </xdr:from>
    <xdr:ext cx="0" cy="47625"/>
    <xdr:pic>
      <xdr:nvPicPr>
        <xdr:cNvPr id="80" name="image6.png">
          <a:extLst>
            <a:ext uri="{FF2B5EF4-FFF2-40B4-BE49-F238E27FC236}">
              <a16:creationId xmlns:a16="http://schemas.microsoft.com/office/drawing/2014/main" id="{00000000-0008-0000-3500-000050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1</xdr:col>
      <xdr:colOff>0</xdr:colOff>
      <xdr:row>24</xdr:row>
      <xdr:rowOff>57150</xdr:rowOff>
    </xdr:from>
    <xdr:ext cx="0" cy="47625"/>
    <xdr:pic>
      <xdr:nvPicPr>
        <xdr:cNvPr id="81" name="image10.png">
          <a:extLst>
            <a:ext uri="{FF2B5EF4-FFF2-40B4-BE49-F238E27FC236}">
              <a16:creationId xmlns:a16="http://schemas.microsoft.com/office/drawing/2014/main" id="{00000000-0008-0000-3500-000051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1</xdr:col>
      <xdr:colOff>0</xdr:colOff>
      <xdr:row>24</xdr:row>
      <xdr:rowOff>57150</xdr:rowOff>
    </xdr:from>
    <xdr:ext cx="0" cy="47625"/>
    <xdr:pic>
      <xdr:nvPicPr>
        <xdr:cNvPr id="82" name="image6.png">
          <a:extLst>
            <a:ext uri="{FF2B5EF4-FFF2-40B4-BE49-F238E27FC236}">
              <a16:creationId xmlns:a16="http://schemas.microsoft.com/office/drawing/2014/main" id="{00000000-0008-0000-3500-000052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1</xdr:col>
      <xdr:colOff>0</xdr:colOff>
      <xdr:row>1</xdr:row>
      <xdr:rowOff>57150</xdr:rowOff>
    </xdr:from>
    <xdr:ext cx="0" cy="38100"/>
    <xdr:pic>
      <xdr:nvPicPr>
        <xdr:cNvPr id="83" name="image11.png">
          <a:extLst>
            <a:ext uri="{FF2B5EF4-FFF2-40B4-BE49-F238E27FC236}">
              <a16:creationId xmlns:a16="http://schemas.microsoft.com/office/drawing/2014/main" id="{00000000-0008-0000-3500-00005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xdr:row>
      <xdr:rowOff>57150</xdr:rowOff>
    </xdr:from>
    <xdr:ext cx="0" cy="38100"/>
    <xdr:pic>
      <xdr:nvPicPr>
        <xdr:cNvPr id="84" name="image13.png">
          <a:extLst>
            <a:ext uri="{FF2B5EF4-FFF2-40B4-BE49-F238E27FC236}">
              <a16:creationId xmlns:a16="http://schemas.microsoft.com/office/drawing/2014/main" id="{00000000-0008-0000-3500-00005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0</xdr:colOff>
      <xdr:row>1</xdr:row>
      <xdr:rowOff>57150</xdr:rowOff>
    </xdr:from>
    <xdr:ext cx="0" cy="38100"/>
    <xdr:pic>
      <xdr:nvPicPr>
        <xdr:cNvPr id="85" name="image11.png">
          <a:extLst>
            <a:ext uri="{FF2B5EF4-FFF2-40B4-BE49-F238E27FC236}">
              <a16:creationId xmlns:a16="http://schemas.microsoft.com/office/drawing/2014/main" id="{00000000-0008-0000-3500-00005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19</xdr:row>
      <xdr:rowOff>66675</xdr:rowOff>
    </xdr:from>
    <xdr:ext cx="0" cy="285750"/>
    <xdr:pic>
      <xdr:nvPicPr>
        <xdr:cNvPr id="86" name="image9.png">
          <a:extLst>
            <a:ext uri="{FF2B5EF4-FFF2-40B4-BE49-F238E27FC236}">
              <a16:creationId xmlns:a16="http://schemas.microsoft.com/office/drawing/2014/main" id="{00000000-0008-0000-3500-00005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0</xdr:colOff>
      <xdr:row>19</xdr:row>
      <xdr:rowOff>66675</xdr:rowOff>
    </xdr:from>
    <xdr:ext cx="0" cy="285750"/>
    <xdr:pic>
      <xdr:nvPicPr>
        <xdr:cNvPr id="87" name="image8.png">
          <a:extLst>
            <a:ext uri="{FF2B5EF4-FFF2-40B4-BE49-F238E27FC236}">
              <a16:creationId xmlns:a16="http://schemas.microsoft.com/office/drawing/2014/main" id="{00000000-0008-0000-3500-00005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0</xdr:colOff>
      <xdr:row>19</xdr:row>
      <xdr:rowOff>66675</xdr:rowOff>
    </xdr:from>
    <xdr:ext cx="0" cy="285750"/>
    <xdr:pic>
      <xdr:nvPicPr>
        <xdr:cNvPr id="88" name="image9.png">
          <a:extLst>
            <a:ext uri="{FF2B5EF4-FFF2-40B4-BE49-F238E27FC236}">
              <a16:creationId xmlns:a16="http://schemas.microsoft.com/office/drawing/2014/main" id="{00000000-0008-0000-3500-00005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0</xdr:colOff>
      <xdr:row>19</xdr:row>
      <xdr:rowOff>66675</xdr:rowOff>
    </xdr:from>
    <xdr:ext cx="0" cy="361950"/>
    <xdr:pic>
      <xdr:nvPicPr>
        <xdr:cNvPr id="89" name="image4.png">
          <a:extLst>
            <a:ext uri="{FF2B5EF4-FFF2-40B4-BE49-F238E27FC236}">
              <a16:creationId xmlns:a16="http://schemas.microsoft.com/office/drawing/2014/main" id="{00000000-0008-0000-3500-000059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xdr:col>
      <xdr:colOff>0</xdr:colOff>
      <xdr:row>19</xdr:row>
      <xdr:rowOff>66675</xdr:rowOff>
    </xdr:from>
    <xdr:ext cx="0" cy="361950"/>
    <xdr:pic>
      <xdr:nvPicPr>
        <xdr:cNvPr id="90" name="image2.png">
          <a:extLst>
            <a:ext uri="{FF2B5EF4-FFF2-40B4-BE49-F238E27FC236}">
              <a16:creationId xmlns:a16="http://schemas.microsoft.com/office/drawing/2014/main" id="{00000000-0008-0000-3500-00005A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1</xdr:col>
      <xdr:colOff>0</xdr:colOff>
      <xdr:row>19</xdr:row>
      <xdr:rowOff>66675</xdr:rowOff>
    </xdr:from>
    <xdr:ext cx="0" cy="361950"/>
    <xdr:pic>
      <xdr:nvPicPr>
        <xdr:cNvPr id="91" name="image4.png">
          <a:extLst>
            <a:ext uri="{FF2B5EF4-FFF2-40B4-BE49-F238E27FC236}">
              <a16:creationId xmlns:a16="http://schemas.microsoft.com/office/drawing/2014/main" id="{00000000-0008-0000-3500-00005B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92" name="image15.png">
          <a:extLst>
            <a:ext uri="{FF2B5EF4-FFF2-40B4-BE49-F238E27FC236}">
              <a16:creationId xmlns:a16="http://schemas.microsoft.com/office/drawing/2014/main" id="{00000000-0008-0000-3500-00005C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93" name="image17.png">
          <a:extLst>
            <a:ext uri="{FF2B5EF4-FFF2-40B4-BE49-F238E27FC236}">
              <a16:creationId xmlns:a16="http://schemas.microsoft.com/office/drawing/2014/main" id="{00000000-0008-0000-3500-00005D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94" name="image15.png">
          <a:extLst>
            <a:ext uri="{FF2B5EF4-FFF2-40B4-BE49-F238E27FC236}">
              <a16:creationId xmlns:a16="http://schemas.microsoft.com/office/drawing/2014/main" id="{00000000-0008-0000-3500-00005E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95" name="image3.png">
          <a:extLst>
            <a:ext uri="{FF2B5EF4-FFF2-40B4-BE49-F238E27FC236}">
              <a16:creationId xmlns:a16="http://schemas.microsoft.com/office/drawing/2014/main" id="{00000000-0008-0000-3500-00005F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96" name="image16.png">
          <a:extLst>
            <a:ext uri="{FF2B5EF4-FFF2-40B4-BE49-F238E27FC236}">
              <a16:creationId xmlns:a16="http://schemas.microsoft.com/office/drawing/2014/main" id="{00000000-0008-0000-3500-000060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97" name="image3.png">
          <a:extLst>
            <a:ext uri="{FF2B5EF4-FFF2-40B4-BE49-F238E27FC236}">
              <a16:creationId xmlns:a16="http://schemas.microsoft.com/office/drawing/2014/main" id="{00000000-0008-0000-3500-000061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98" name="image12.png">
          <a:extLst>
            <a:ext uri="{FF2B5EF4-FFF2-40B4-BE49-F238E27FC236}">
              <a16:creationId xmlns:a16="http://schemas.microsoft.com/office/drawing/2014/main" id="{00000000-0008-0000-3500-000062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99" name="image7.png">
          <a:extLst>
            <a:ext uri="{FF2B5EF4-FFF2-40B4-BE49-F238E27FC236}">
              <a16:creationId xmlns:a16="http://schemas.microsoft.com/office/drawing/2014/main" id="{00000000-0008-0000-3500-000063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100" name="image12.png">
          <a:extLst>
            <a:ext uri="{FF2B5EF4-FFF2-40B4-BE49-F238E27FC236}">
              <a16:creationId xmlns:a16="http://schemas.microsoft.com/office/drawing/2014/main" id="{00000000-0008-0000-3500-000064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101" name="image12.png">
          <a:extLst>
            <a:ext uri="{FF2B5EF4-FFF2-40B4-BE49-F238E27FC236}">
              <a16:creationId xmlns:a16="http://schemas.microsoft.com/office/drawing/2014/main" id="{00000000-0008-0000-3500-000065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102" name="image7.png">
          <a:extLst>
            <a:ext uri="{FF2B5EF4-FFF2-40B4-BE49-F238E27FC236}">
              <a16:creationId xmlns:a16="http://schemas.microsoft.com/office/drawing/2014/main" id="{00000000-0008-0000-3500-000066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1</xdr:col>
      <xdr:colOff>0</xdr:colOff>
      <xdr:row>19</xdr:row>
      <xdr:rowOff>57150</xdr:rowOff>
    </xdr:from>
    <xdr:ext cx="0" cy="38100"/>
    <xdr:pic>
      <xdr:nvPicPr>
        <xdr:cNvPr id="103" name="image12.png">
          <a:extLst>
            <a:ext uri="{FF2B5EF4-FFF2-40B4-BE49-F238E27FC236}">
              <a16:creationId xmlns:a16="http://schemas.microsoft.com/office/drawing/2014/main" id="{00000000-0008-0000-3500-000067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0</xdr:colOff>
      <xdr:row>20</xdr:row>
      <xdr:rowOff>66675</xdr:rowOff>
    </xdr:from>
    <xdr:ext cx="0" cy="704850"/>
    <xdr:pic>
      <xdr:nvPicPr>
        <xdr:cNvPr id="104" name="image5.png">
          <a:extLst>
            <a:ext uri="{FF2B5EF4-FFF2-40B4-BE49-F238E27FC236}">
              <a16:creationId xmlns:a16="http://schemas.microsoft.com/office/drawing/2014/main" id="{00000000-0008-0000-3500-000068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1</xdr:col>
      <xdr:colOff>0</xdr:colOff>
      <xdr:row>20</xdr:row>
      <xdr:rowOff>66675</xdr:rowOff>
    </xdr:from>
    <xdr:ext cx="0" cy="704850"/>
    <xdr:pic>
      <xdr:nvPicPr>
        <xdr:cNvPr id="105" name="image14.png">
          <a:extLst>
            <a:ext uri="{FF2B5EF4-FFF2-40B4-BE49-F238E27FC236}">
              <a16:creationId xmlns:a16="http://schemas.microsoft.com/office/drawing/2014/main" id="{00000000-0008-0000-3500-000069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1</xdr:col>
      <xdr:colOff>0</xdr:colOff>
      <xdr:row>20</xdr:row>
      <xdr:rowOff>66675</xdr:rowOff>
    </xdr:from>
    <xdr:ext cx="0" cy="704850"/>
    <xdr:pic>
      <xdr:nvPicPr>
        <xdr:cNvPr id="106" name="image5.png">
          <a:extLst>
            <a:ext uri="{FF2B5EF4-FFF2-40B4-BE49-F238E27FC236}">
              <a16:creationId xmlns:a16="http://schemas.microsoft.com/office/drawing/2014/main" id="{00000000-0008-0000-3500-00006A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1</xdr:col>
      <xdr:colOff>0</xdr:colOff>
      <xdr:row>24</xdr:row>
      <xdr:rowOff>57150</xdr:rowOff>
    </xdr:from>
    <xdr:ext cx="0" cy="47625"/>
    <xdr:pic>
      <xdr:nvPicPr>
        <xdr:cNvPr id="107" name="image6.png">
          <a:extLst>
            <a:ext uri="{FF2B5EF4-FFF2-40B4-BE49-F238E27FC236}">
              <a16:creationId xmlns:a16="http://schemas.microsoft.com/office/drawing/2014/main" id="{00000000-0008-0000-3500-00006B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1</xdr:col>
      <xdr:colOff>0</xdr:colOff>
      <xdr:row>24</xdr:row>
      <xdr:rowOff>57150</xdr:rowOff>
    </xdr:from>
    <xdr:ext cx="0" cy="47625"/>
    <xdr:pic>
      <xdr:nvPicPr>
        <xdr:cNvPr id="108" name="image10.png">
          <a:extLst>
            <a:ext uri="{FF2B5EF4-FFF2-40B4-BE49-F238E27FC236}">
              <a16:creationId xmlns:a16="http://schemas.microsoft.com/office/drawing/2014/main" id="{00000000-0008-0000-3500-00006C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1</xdr:col>
      <xdr:colOff>0</xdr:colOff>
      <xdr:row>24</xdr:row>
      <xdr:rowOff>57150</xdr:rowOff>
    </xdr:from>
    <xdr:ext cx="0" cy="47625"/>
    <xdr:pic>
      <xdr:nvPicPr>
        <xdr:cNvPr id="109" name="image6.png">
          <a:extLst>
            <a:ext uri="{FF2B5EF4-FFF2-40B4-BE49-F238E27FC236}">
              <a16:creationId xmlns:a16="http://schemas.microsoft.com/office/drawing/2014/main" id="{00000000-0008-0000-3500-00006D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4</xdr:col>
      <xdr:colOff>0</xdr:colOff>
      <xdr:row>2</xdr:row>
      <xdr:rowOff>57150</xdr:rowOff>
    </xdr:from>
    <xdr:ext cx="0" cy="38100"/>
    <xdr:pic>
      <xdr:nvPicPr>
        <xdr:cNvPr id="110" name="image11.png">
          <a:extLst>
            <a:ext uri="{FF2B5EF4-FFF2-40B4-BE49-F238E27FC236}">
              <a16:creationId xmlns:a16="http://schemas.microsoft.com/office/drawing/2014/main" id="{00000000-0008-0000-3500-00006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xdr:row>
      <xdr:rowOff>57150</xdr:rowOff>
    </xdr:from>
    <xdr:ext cx="0" cy="38100"/>
    <xdr:pic>
      <xdr:nvPicPr>
        <xdr:cNvPr id="111" name="image13.png">
          <a:extLst>
            <a:ext uri="{FF2B5EF4-FFF2-40B4-BE49-F238E27FC236}">
              <a16:creationId xmlns:a16="http://schemas.microsoft.com/office/drawing/2014/main" id="{00000000-0008-0000-3500-00006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2</xdr:row>
      <xdr:rowOff>57150</xdr:rowOff>
    </xdr:from>
    <xdr:ext cx="0" cy="38100"/>
    <xdr:pic>
      <xdr:nvPicPr>
        <xdr:cNvPr id="112" name="image11.png">
          <a:extLst>
            <a:ext uri="{FF2B5EF4-FFF2-40B4-BE49-F238E27FC236}">
              <a16:creationId xmlns:a16="http://schemas.microsoft.com/office/drawing/2014/main" id="{00000000-0008-0000-3500-00007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xdr:row>
      <xdr:rowOff>57150</xdr:rowOff>
    </xdr:from>
    <xdr:ext cx="0" cy="38100"/>
    <xdr:pic>
      <xdr:nvPicPr>
        <xdr:cNvPr id="113" name="image11.png">
          <a:extLst>
            <a:ext uri="{FF2B5EF4-FFF2-40B4-BE49-F238E27FC236}">
              <a16:creationId xmlns:a16="http://schemas.microsoft.com/office/drawing/2014/main" id="{00000000-0008-0000-3500-00007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xdr:row>
      <xdr:rowOff>57150</xdr:rowOff>
    </xdr:from>
    <xdr:ext cx="0" cy="38100"/>
    <xdr:pic>
      <xdr:nvPicPr>
        <xdr:cNvPr id="114" name="image13.png">
          <a:extLst>
            <a:ext uri="{FF2B5EF4-FFF2-40B4-BE49-F238E27FC236}">
              <a16:creationId xmlns:a16="http://schemas.microsoft.com/office/drawing/2014/main" id="{00000000-0008-0000-3500-00007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2</xdr:row>
      <xdr:rowOff>57150</xdr:rowOff>
    </xdr:from>
    <xdr:ext cx="0" cy="38100"/>
    <xdr:pic>
      <xdr:nvPicPr>
        <xdr:cNvPr id="115" name="image11.png">
          <a:extLst>
            <a:ext uri="{FF2B5EF4-FFF2-40B4-BE49-F238E27FC236}">
              <a16:creationId xmlns:a16="http://schemas.microsoft.com/office/drawing/2014/main" id="{00000000-0008-0000-3500-00007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3</xdr:row>
      <xdr:rowOff>57150</xdr:rowOff>
    </xdr:from>
    <xdr:ext cx="0" cy="38100"/>
    <xdr:pic>
      <xdr:nvPicPr>
        <xdr:cNvPr id="116" name="image11.png">
          <a:extLst>
            <a:ext uri="{FF2B5EF4-FFF2-40B4-BE49-F238E27FC236}">
              <a16:creationId xmlns:a16="http://schemas.microsoft.com/office/drawing/2014/main" id="{00000000-0008-0000-3500-00007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3</xdr:row>
      <xdr:rowOff>57150</xdr:rowOff>
    </xdr:from>
    <xdr:ext cx="0" cy="38100"/>
    <xdr:pic>
      <xdr:nvPicPr>
        <xdr:cNvPr id="117" name="image13.png">
          <a:extLst>
            <a:ext uri="{FF2B5EF4-FFF2-40B4-BE49-F238E27FC236}">
              <a16:creationId xmlns:a16="http://schemas.microsoft.com/office/drawing/2014/main" id="{00000000-0008-0000-3500-00007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3</xdr:row>
      <xdr:rowOff>57150</xdr:rowOff>
    </xdr:from>
    <xdr:ext cx="0" cy="38100"/>
    <xdr:pic>
      <xdr:nvPicPr>
        <xdr:cNvPr id="118" name="image11.png">
          <a:extLst>
            <a:ext uri="{FF2B5EF4-FFF2-40B4-BE49-F238E27FC236}">
              <a16:creationId xmlns:a16="http://schemas.microsoft.com/office/drawing/2014/main" id="{00000000-0008-0000-3500-00007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3</xdr:row>
      <xdr:rowOff>57150</xdr:rowOff>
    </xdr:from>
    <xdr:ext cx="0" cy="38100"/>
    <xdr:pic>
      <xdr:nvPicPr>
        <xdr:cNvPr id="119" name="image11.png">
          <a:extLst>
            <a:ext uri="{FF2B5EF4-FFF2-40B4-BE49-F238E27FC236}">
              <a16:creationId xmlns:a16="http://schemas.microsoft.com/office/drawing/2014/main" id="{00000000-0008-0000-3500-00007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3</xdr:row>
      <xdr:rowOff>57150</xdr:rowOff>
    </xdr:from>
    <xdr:ext cx="0" cy="38100"/>
    <xdr:pic>
      <xdr:nvPicPr>
        <xdr:cNvPr id="120" name="image13.png">
          <a:extLst>
            <a:ext uri="{FF2B5EF4-FFF2-40B4-BE49-F238E27FC236}">
              <a16:creationId xmlns:a16="http://schemas.microsoft.com/office/drawing/2014/main" id="{00000000-0008-0000-3500-00007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3</xdr:row>
      <xdr:rowOff>57150</xdr:rowOff>
    </xdr:from>
    <xdr:ext cx="0" cy="38100"/>
    <xdr:pic>
      <xdr:nvPicPr>
        <xdr:cNvPr id="121" name="image11.png">
          <a:extLst>
            <a:ext uri="{FF2B5EF4-FFF2-40B4-BE49-F238E27FC236}">
              <a16:creationId xmlns:a16="http://schemas.microsoft.com/office/drawing/2014/main" id="{00000000-0008-0000-3500-00007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0</xdr:rowOff>
    </xdr:from>
    <xdr:ext cx="0" cy="38100"/>
    <xdr:pic>
      <xdr:nvPicPr>
        <xdr:cNvPr id="122" name="image11.png">
          <a:extLst>
            <a:ext uri="{FF2B5EF4-FFF2-40B4-BE49-F238E27FC236}">
              <a16:creationId xmlns:a16="http://schemas.microsoft.com/office/drawing/2014/main" id="{00000000-0008-0000-3500-00007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0</xdr:rowOff>
    </xdr:from>
    <xdr:ext cx="0" cy="38100"/>
    <xdr:pic>
      <xdr:nvPicPr>
        <xdr:cNvPr id="123" name="image13.png">
          <a:extLst>
            <a:ext uri="{FF2B5EF4-FFF2-40B4-BE49-F238E27FC236}">
              <a16:creationId xmlns:a16="http://schemas.microsoft.com/office/drawing/2014/main" id="{00000000-0008-0000-3500-00007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0</xdr:rowOff>
    </xdr:from>
    <xdr:ext cx="0" cy="38100"/>
    <xdr:pic>
      <xdr:nvPicPr>
        <xdr:cNvPr id="124" name="image11.png">
          <a:extLst>
            <a:ext uri="{FF2B5EF4-FFF2-40B4-BE49-F238E27FC236}">
              <a16:creationId xmlns:a16="http://schemas.microsoft.com/office/drawing/2014/main" id="{00000000-0008-0000-3500-00007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0</xdr:rowOff>
    </xdr:from>
    <xdr:ext cx="0" cy="38100"/>
    <xdr:pic>
      <xdr:nvPicPr>
        <xdr:cNvPr id="125" name="image11.png">
          <a:extLst>
            <a:ext uri="{FF2B5EF4-FFF2-40B4-BE49-F238E27FC236}">
              <a16:creationId xmlns:a16="http://schemas.microsoft.com/office/drawing/2014/main" id="{00000000-0008-0000-3500-00007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0</xdr:rowOff>
    </xdr:from>
    <xdr:ext cx="0" cy="38100"/>
    <xdr:pic>
      <xdr:nvPicPr>
        <xdr:cNvPr id="126" name="image13.png">
          <a:extLst>
            <a:ext uri="{FF2B5EF4-FFF2-40B4-BE49-F238E27FC236}">
              <a16:creationId xmlns:a16="http://schemas.microsoft.com/office/drawing/2014/main" id="{00000000-0008-0000-3500-00007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0</xdr:rowOff>
    </xdr:from>
    <xdr:ext cx="0" cy="38100"/>
    <xdr:pic>
      <xdr:nvPicPr>
        <xdr:cNvPr id="127" name="image11.png">
          <a:extLst>
            <a:ext uri="{FF2B5EF4-FFF2-40B4-BE49-F238E27FC236}">
              <a16:creationId xmlns:a16="http://schemas.microsoft.com/office/drawing/2014/main" id="{00000000-0008-0000-3500-00007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28" name="image11.png">
          <a:extLst>
            <a:ext uri="{FF2B5EF4-FFF2-40B4-BE49-F238E27FC236}">
              <a16:creationId xmlns:a16="http://schemas.microsoft.com/office/drawing/2014/main" id="{00000000-0008-0000-3500-00008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29" name="image13.png">
          <a:extLst>
            <a:ext uri="{FF2B5EF4-FFF2-40B4-BE49-F238E27FC236}">
              <a16:creationId xmlns:a16="http://schemas.microsoft.com/office/drawing/2014/main" id="{00000000-0008-0000-3500-00008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30" name="image11.png">
          <a:extLst>
            <a:ext uri="{FF2B5EF4-FFF2-40B4-BE49-F238E27FC236}">
              <a16:creationId xmlns:a16="http://schemas.microsoft.com/office/drawing/2014/main" id="{00000000-0008-0000-3500-00008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31" name="image11.png">
          <a:extLst>
            <a:ext uri="{FF2B5EF4-FFF2-40B4-BE49-F238E27FC236}">
              <a16:creationId xmlns:a16="http://schemas.microsoft.com/office/drawing/2014/main" id="{00000000-0008-0000-3500-00008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32" name="image13.png">
          <a:extLst>
            <a:ext uri="{FF2B5EF4-FFF2-40B4-BE49-F238E27FC236}">
              <a16:creationId xmlns:a16="http://schemas.microsoft.com/office/drawing/2014/main" id="{00000000-0008-0000-3500-00008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33" name="image11.png">
          <a:extLst>
            <a:ext uri="{FF2B5EF4-FFF2-40B4-BE49-F238E27FC236}">
              <a16:creationId xmlns:a16="http://schemas.microsoft.com/office/drawing/2014/main" id="{00000000-0008-0000-3500-00008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34" name="image11.png">
          <a:extLst>
            <a:ext uri="{FF2B5EF4-FFF2-40B4-BE49-F238E27FC236}">
              <a16:creationId xmlns:a16="http://schemas.microsoft.com/office/drawing/2014/main" id="{00000000-0008-0000-3500-00008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35" name="image13.png">
          <a:extLst>
            <a:ext uri="{FF2B5EF4-FFF2-40B4-BE49-F238E27FC236}">
              <a16:creationId xmlns:a16="http://schemas.microsoft.com/office/drawing/2014/main" id="{00000000-0008-0000-3500-00008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36" name="image11.png">
          <a:extLst>
            <a:ext uri="{FF2B5EF4-FFF2-40B4-BE49-F238E27FC236}">
              <a16:creationId xmlns:a16="http://schemas.microsoft.com/office/drawing/2014/main" id="{00000000-0008-0000-3500-00008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37" name="image11.png">
          <a:extLst>
            <a:ext uri="{FF2B5EF4-FFF2-40B4-BE49-F238E27FC236}">
              <a16:creationId xmlns:a16="http://schemas.microsoft.com/office/drawing/2014/main" id="{00000000-0008-0000-3500-00008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38" name="image13.png">
          <a:extLst>
            <a:ext uri="{FF2B5EF4-FFF2-40B4-BE49-F238E27FC236}">
              <a16:creationId xmlns:a16="http://schemas.microsoft.com/office/drawing/2014/main" id="{00000000-0008-0000-3500-00008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39" name="image11.png">
          <a:extLst>
            <a:ext uri="{FF2B5EF4-FFF2-40B4-BE49-F238E27FC236}">
              <a16:creationId xmlns:a16="http://schemas.microsoft.com/office/drawing/2014/main" id="{00000000-0008-0000-3500-00008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40" name="image11.png">
          <a:extLst>
            <a:ext uri="{FF2B5EF4-FFF2-40B4-BE49-F238E27FC236}">
              <a16:creationId xmlns:a16="http://schemas.microsoft.com/office/drawing/2014/main" id="{00000000-0008-0000-3500-00008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41" name="image13.png">
          <a:extLst>
            <a:ext uri="{FF2B5EF4-FFF2-40B4-BE49-F238E27FC236}">
              <a16:creationId xmlns:a16="http://schemas.microsoft.com/office/drawing/2014/main" id="{00000000-0008-0000-3500-00008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42" name="image11.png">
          <a:extLst>
            <a:ext uri="{FF2B5EF4-FFF2-40B4-BE49-F238E27FC236}">
              <a16:creationId xmlns:a16="http://schemas.microsoft.com/office/drawing/2014/main" id="{00000000-0008-0000-3500-00008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43" name="image11.png">
          <a:extLst>
            <a:ext uri="{FF2B5EF4-FFF2-40B4-BE49-F238E27FC236}">
              <a16:creationId xmlns:a16="http://schemas.microsoft.com/office/drawing/2014/main" id="{00000000-0008-0000-3500-00008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44" name="image13.png">
          <a:extLst>
            <a:ext uri="{FF2B5EF4-FFF2-40B4-BE49-F238E27FC236}">
              <a16:creationId xmlns:a16="http://schemas.microsoft.com/office/drawing/2014/main" id="{00000000-0008-0000-3500-00009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45" name="image11.png">
          <a:extLst>
            <a:ext uri="{FF2B5EF4-FFF2-40B4-BE49-F238E27FC236}">
              <a16:creationId xmlns:a16="http://schemas.microsoft.com/office/drawing/2014/main" id="{00000000-0008-0000-3500-00009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46" name="image11.png">
          <a:extLst>
            <a:ext uri="{FF2B5EF4-FFF2-40B4-BE49-F238E27FC236}">
              <a16:creationId xmlns:a16="http://schemas.microsoft.com/office/drawing/2014/main" id="{00000000-0008-0000-3500-00009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47" name="image13.png">
          <a:extLst>
            <a:ext uri="{FF2B5EF4-FFF2-40B4-BE49-F238E27FC236}">
              <a16:creationId xmlns:a16="http://schemas.microsoft.com/office/drawing/2014/main" id="{00000000-0008-0000-3500-00009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48" name="image11.png">
          <a:extLst>
            <a:ext uri="{FF2B5EF4-FFF2-40B4-BE49-F238E27FC236}">
              <a16:creationId xmlns:a16="http://schemas.microsoft.com/office/drawing/2014/main" id="{00000000-0008-0000-3500-00009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49" name="image11.png">
          <a:extLst>
            <a:ext uri="{FF2B5EF4-FFF2-40B4-BE49-F238E27FC236}">
              <a16:creationId xmlns:a16="http://schemas.microsoft.com/office/drawing/2014/main" id="{00000000-0008-0000-3500-00009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50" name="image13.png">
          <a:extLst>
            <a:ext uri="{FF2B5EF4-FFF2-40B4-BE49-F238E27FC236}">
              <a16:creationId xmlns:a16="http://schemas.microsoft.com/office/drawing/2014/main" id="{00000000-0008-0000-3500-00009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51" name="image11.png">
          <a:extLst>
            <a:ext uri="{FF2B5EF4-FFF2-40B4-BE49-F238E27FC236}">
              <a16:creationId xmlns:a16="http://schemas.microsoft.com/office/drawing/2014/main" id="{00000000-0008-0000-3500-00009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52" name="image11.png">
          <a:extLst>
            <a:ext uri="{FF2B5EF4-FFF2-40B4-BE49-F238E27FC236}">
              <a16:creationId xmlns:a16="http://schemas.microsoft.com/office/drawing/2014/main" id="{00000000-0008-0000-3500-00009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53" name="image13.png">
          <a:extLst>
            <a:ext uri="{FF2B5EF4-FFF2-40B4-BE49-F238E27FC236}">
              <a16:creationId xmlns:a16="http://schemas.microsoft.com/office/drawing/2014/main" id="{00000000-0008-0000-3500-00009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54" name="image11.png">
          <a:extLst>
            <a:ext uri="{FF2B5EF4-FFF2-40B4-BE49-F238E27FC236}">
              <a16:creationId xmlns:a16="http://schemas.microsoft.com/office/drawing/2014/main" id="{00000000-0008-0000-3500-00009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55" name="image11.png">
          <a:extLst>
            <a:ext uri="{FF2B5EF4-FFF2-40B4-BE49-F238E27FC236}">
              <a16:creationId xmlns:a16="http://schemas.microsoft.com/office/drawing/2014/main" id="{00000000-0008-0000-3500-00009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56" name="image13.png">
          <a:extLst>
            <a:ext uri="{FF2B5EF4-FFF2-40B4-BE49-F238E27FC236}">
              <a16:creationId xmlns:a16="http://schemas.microsoft.com/office/drawing/2014/main" id="{00000000-0008-0000-3500-00009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57" name="image11.png">
          <a:extLst>
            <a:ext uri="{FF2B5EF4-FFF2-40B4-BE49-F238E27FC236}">
              <a16:creationId xmlns:a16="http://schemas.microsoft.com/office/drawing/2014/main" id="{00000000-0008-0000-3500-00009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58" name="image11.png">
          <a:extLst>
            <a:ext uri="{FF2B5EF4-FFF2-40B4-BE49-F238E27FC236}">
              <a16:creationId xmlns:a16="http://schemas.microsoft.com/office/drawing/2014/main" id="{00000000-0008-0000-3500-00009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59" name="image13.png">
          <a:extLst>
            <a:ext uri="{FF2B5EF4-FFF2-40B4-BE49-F238E27FC236}">
              <a16:creationId xmlns:a16="http://schemas.microsoft.com/office/drawing/2014/main" id="{00000000-0008-0000-3500-00009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60" name="image11.png">
          <a:extLst>
            <a:ext uri="{FF2B5EF4-FFF2-40B4-BE49-F238E27FC236}">
              <a16:creationId xmlns:a16="http://schemas.microsoft.com/office/drawing/2014/main" id="{00000000-0008-0000-3500-0000A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61" name="image11.png">
          <a:extLst>
            <a:ext uri="{FF2B5EF4-FFF2-40B4-BE49-F238E27FC236}">
              <a16:creationId xmlns:a16="http://schemas.microsoft.com/office/drawing/2014/main" id="{00000000-0008-0000-3500-0000A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62" name="image13.png">
          <a:extLst>
            <a:ext uri="{FF2B5EF4-FFF2-40B4-BE49-F238E27FC236}">
              <a16:creationId xmlns:a16="http://schemas.microsoft.com/office/drawing/2014/main" id="{00000000-0008-0000-3500-0000A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63" name="image11.png">
          <a:extLst>
            <a:ext uri="{FF2B5EF4-FFF2-40B4-BE49-F238E27FC236}">
              <a16:creationId xmlns:a16="http://schemas.microsoft.com/office/drawing/2014/main" id="{00000000-0008-0000-3500-0000A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64" name="image11.png">
          <a:extLst>
            <a:ext uri="{FF2B5EF4-FFF2-40B4-BE49-F238E27FC236}">
              <a16:creationId xmlns:a16="http://schemas.microsoft.com/office/drawing/2014/main" id="{00000000-0008-0000-3500-0000A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65" name="image13.png">
          <a:extLst>
            <a:ext uri="{FF2B5EF4-FFF2-40B4-BE49-F238E27FC236}">
              <a16:creationId xmlns:a16="http://schemas.microsoft.com/office/drawing/2014/main" id="{00000000-0008-0000-3500-0000A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66" name="image11.png">
          <a:extLst>
            <a:ext uri="{FF2B5EF4-FFF2-40B4-BE49-F238E27FC236}">
              <a16:creationId xmlns:a16="http://schemas.microsoft.com/office/drawing/2014/main" id="{00000000-0008-0000-3500-0000A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67" name="image11.png">
          <a:extLst>
            <a:ext uri="{FF2B5EF4-FFF2-40B4-BE49-F238E27FC236}">
              <a16:creationId xmlns:a16="http://schemas.microsoft.com/office/drawing/2014/main" id="{00000000-0008-0000-3500-0000A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68" name="image13.png">
          <a:extLst>
            <a:ext uri="{FF2B5EF4-FFF2-40B4-BE49-F238E27FC236}">
              <a16:creationId xmlns:a16="http://schemas.microsoft.com/office/drawing/2014/main" id="{00000000-0008-0000-3500-0000A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69" name="image11.png">
          <a:extLst>
            <a:ext uri="{FF2B5EF4-FFF2-40B4-BE49-F238E27FC236}">
              <a16:creationId xmlns:a16="http://schemas.microsoft.com/office/drawing/2014/main" id="{00000000-0008-0000-3500-0000A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70" name="image11.png">
          <a:extLst>
            <a:ext uri="{FF2B5EF4-FFF2-40B4-BE49-F238E27FC236}">
              <a16:creationId xmlns:a16="http://schemas.microsoft.com/office/drawing/2014/main" id="{00000000-0008-0000-3500-0000A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71" name="image13.png">
          <a:extLst>
            <a:ext uri="{FF2B5EF4-FFF2-40B4-BE49-F238E27FC236}">
              <a16:creationId xmlns:a16="http://schemas.microsoft.com/office/drawing/2014/main" id="{00000000-0008-0000-3500-0000A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72" name="image11.png">
          <a:extLst>
            <a:ext uri="{FF2B5EF4-FFF2-40B4-BE49-F238E27FC236}">
              <a16:creationId xmlns:a16="http://schemas.microsoft.com/office/drawing/2014/main" id="{00000000-0008-0000-3500-0000A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73" name="image11.png">
          <a:extLst>
            <a:ext uri="{FF2B5EF4-FFF2-40B4-BE49-F238E27FC236}">
              <a16:creationId xmlns:a16="http://schemas.microsoft.com/office/drawing/2014/main" id="{00000000-0008-0000-3500-0000A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74" name="image13.png">
          <a:extLst>
            <a:ext uri="{FF2B5EF4-FFF2-40B4-BE49-F238E27FC236}">
              <a16:creationId xmlns:a16="http://schemas.microsoft.com/office/drawing/2014/main" id="{00000000-0008-0000-3500-0000A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75" name="image11.png">
          <a:extLst>
            <a:ext uri="{FF2B5EF4-FFF2-40B4-BE49-F238E27FC236}">
              <a16:creationId xmlns:a16="http://schemas.microsoft.com/office/drawing/2014/main" id="{00000000-0008-0000-3500-0000A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76" name="image11.png">
          <a:extLst>
            <a:ext uri="{FF2B5EF4-FFF2-40B4-BE49-F238E27FC236}">
              <a16:creationId xmlns:a16="http://schemas.microsoft.com/office/drawing/2014/main" id="{00000000-0008-0000-3500-0000B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77" name="image13.png">
          <a:extLst>
            <a:ext uri="{FF2B5EF4-FFF2-40B4-BE49-F238E27FC236}">
              <a16:creationId xmlns:a16="http://schemas.microsoft.com/office/drawing/2014/main" id="{00000000-0008-0000-3500-0000B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78" name="image11.png">
          <a:extLst>
            <a:ext uri="{FF2B5EF4-FFF2-40B4-BE49-F238E27FC236}">
              <a16:creationId xmlns:a16="http://schemas.microsoft.com/office/drawing/2014/main" id="{00000000-0008-0000-3500-0000B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79" name="image11.png">
          <a:extLst>
            <a:ext uri="{FF2B5EF4-FFF2-40B4-BE49-F238E27FC236}">
              <a16:creationId xmlns:a16="http://schemas.microsoft.com/office/drawing/2014/main" id="{00000000-0008-0000-3500-0000B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80" name="image13.png">
          <a:extLst>
            <a:ext uri="{FF2B5EF4-FFF2-40B4-BE49-F238E27FC236}">
              <a16:creationId xmlns:a16="http://schemas.microsoft.com/office/drawing/2014/main" id="{00000000-0008-0000-3500-0000B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81" name="image11.png">
          <a:extLst>
            <a:ext uri="{FF2B5EF4-FFF2-40B4-BE49-F238E27FC236}">
              <a16:creationId xmlns:a16="http://schemas.microsoft.com/office/drawing/2014/main" id="{00000000-0008-0000-3500-0000B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82" name="image11.png">
          <a:extLst>
            <a:ext uri="{FF2B5EF4-FFF2-40B4-BE49-F238E27FC236}">
              <a16:creationId xmlns:a16="http://schemas.microsoft.com/office/drawing/2014/main" id="{00000000-0008-0000-3500-0000B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83" name="image13.png">
          <a:extLst>
            <a:ext uri="{FF2B5EF4-FFF2-40B4-BE49-F238E27FC236}">
              <a16:creationId xmlns:a16="http://schemas.microsoft.com/office/drawing/2014/main" id="{00000000-0008-0000-3500-0000B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84" name="image11.png">
          <a:extLst>
            <a:ext uri="{FF2B5EF4-FFF2-40B4-BE49-F238E27FC236}">
              <a16:creationId xmlns:a16="http://schemas.microsoft.com/office/drawing/2014/main" id="{00000000-0008-0000-3500-0000B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85" name="image11.png">
          <a:extLst>
            <a:ext uri="{FF2B5EF4-FFF2-40B4-BE49-F238E27FC236}">
              <a16:creationId xmlns:a16="http://schemas.microsoft.com/office/drawing/2014/main" id="{00000000-0008-0000-3500-0000B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86" name="image13.png">
          <a:extLst>
            <a:ext uri="{FF2B5EF4-FFF2-40B4-BE49-F238E27FC236}">
              <a16:creationId xmlns:a16="http://schemas.microsoft.com/office/drawing/2014/main" id="{00000000-0008-0000-3500-0000B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87" name="image11.png">
          <a:extLst>
            <a:ext uri="{FF2B5EF4-FFF2-40B4-BE49-F238E27FC236}">
              <a16:creationId xmlns:a16="http://schemas.microsoft.com/office/drawing/2014/main" id="{00000000-0008-0000-3500-0000B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88" name="image11.png">
          <a:extLst>
            <a:ext uri="{FF2B5EF4-FFF2-40B4-BE49-F238E27FC236}">
              <a16:creationId xmlns:a16="http://schemas.microsoft.com/office/drawing/2014/main" id="{00000000-0008-0000-3500-0000B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89" name="image13.png">
          <a:extLst>
            <a:ext uri="{FF2B5EF4-FFF2-40B4-BE49-F238E27FC236}">
              <a16:creationId xmlns:a16="http://schemas.microsoft.com/office/drawing/2014/main" id="{00000000-0008-0000-3500-0000B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90" name="image11.png">
          <a:extLst>
            <a:ext uri="{FF2B5EF4-FFF2-40B4-BE49-F238E27FC236}">
              <a16:creationId xmlns:a16="http://schemas.microsoft.com/office/drawing/2014/main" id="{00000000-0008-0000-3500-0000B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91" name="image11.png">
          <a:extLst>
            <a:ext uri="{FF2B5EF4-FFF2-40B4-BE49-F238E27FC236}">
              <a16:creationId xmlns:a16="http://schemas.microsoft.com/office/drawing/2014/main" id="{00000000-0008-0000-3500-0000B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92" name="image13.png">
          <a:extLst>
            <a:ext uri="{FF2B5EF4-FFF2-40B4-BE49-F238E27FC236}">
              <a16:creationId xmlns:a16="http://schemas.microsoft.com/office/drawing/2014/main" id="{00000000-0008-0000-3500-0000C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93" name="image11.png">
          <a:extLst>
            <a:ext uri="{FF2B5EF4-FFF2-40B4-BE49-F238E27FC236}">
              <a16:creationId xmlns:a16="http://schemas.microsoft.com/office/drawing/2014/main" id="{00000000-0008-0000-3500-0000C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94" name="image11.png">
          <a:extLst>
            <a:ext uri="{FF2B5EF4-FFF2-40B4-BE49-F238E27FC236}">
              <a16:creationId xmlns:a16="http://schemas.microsoft.com/office/drawing/2014/main" id="{00000000-0008-0000-3500-0000C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95" name="image13.png">
          <a:extLst>
            <a:ext uri="{FF2B5EF4-FFF2-40B4-BE49-F238E27FC236}">
              <a16:creationId xmlns:a16="http://schemas.microsoft.com/office/drawing/2014/main" id="{00000000-0008-0000-3500-0000C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96" name="image11.png">
          <a:extLst>
            <a:ext uri="{FF2B5EF4-FFF2-40B4-BE49-F238E27FC236}">
              <a16:creationId xmlns:a16="http://schemas.microsoft.com/office/drawing/2014/main" id="{00000000-0008-0000-3500-0000C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97" name="image11.png">
          <a:extLst>
            <a:ext uri="{FF2B5EF4-FFF2-40B4-BE49-F238E27FC236}">
              <a16:creationId xmlns:a16="http://schemas.microsoft.com/office/drawing/2014/main" id="{00000000-0008-0000-3500-0000C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98" name="image13.png">
          <a:extLst>
            <a:ext uri="{FF2B5EF4-FFF2-40B4-BE49-F238E27FC236}">
              <a16:creationId xmlns:a16="http://schemas.microsoft.com/office/drawing/2014/main" id="{00000000-0008-0000-3500-0000C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199" name="image11.png">
          <a:extLst>
            <a:ext uri="{FF2B5EF4-FFF2-40B4-BE49-F238E27FC236}">
              <a16:creationId xmlns:a16="http://schemas.microsoft.com/office/drawing/2014/main" id="{00000000-0008-0000-3500-0000C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00" name="image11.png">
          <a:extLst>
            <a:ext uri="{FF2B5EF4-FFF2-40B4-BE49-F238E27FC236}">
              <a16:creationId xmlns:a16="http://schemas.microsoft.com/office/drawing/2014/main" id="{00000000-0008-0000-3500-0000C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01" name="image13.png">
          <a:extLst>
            <a:ext uri="{FF2B5EF4-FFF2-40B4-BE49-F238E27FC236}">
              <a16:creationId xmlns:a16="http://schemas.microsoft.com/office/drawing/2014/main" id="{00000000-0008-0000-3500-0000C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02" name="image11.png">
          <a:extLst>
            <a:ext uri="{FF2B5EF4-FFF2-40B4-BE49-F238E27FC236}">
              <a16:creationId xmlns:a16="http://schemas.microsoft.com/office/drawing/2014/main" id="{00000000-0008-0000-3500-0000C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03" name="image11.png">
          <a:extLst>
            <a:ext uri="{FF2B5EF4-FFF2-40B4-BE49-F238E27FC236}">
              <a16:creationId xmlns:a16="http://schemas.microsoft.com/office/drawing/2014/main" id="{00000000-0008-0000-3500-0000C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04" name="image13.png">
          <a:extLst>
            <a:ext uri="{FF2B5EF4-FFF2-40B4-BE49-F238E27FC236}">
              <a16:creationId xmlns:a16="http://schemas.microsoft.com/office/drawing/2014/main" id="{00000000-0008-0000-3500-0000C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05" name="image11.png">
          <a:extLst>
            <a:ext uri="{FF2B5EF4-FFF2-40B4-BE49-F238E27FC236}">
              <a16:creationId xmlns:a16="http://schemas.microsoft.com/office/drawing/2014/main" id="{00000000-0008-0000-3500-0000C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06" name="image11.png">
          <a:extLst>
            <a:ext uri="{FF2B5EF4-FFF2-40B4-BE49-F238E27FC236}">
              <a16:creationId xmlns:a16="http://schemas.microsoft.com/office/drawing/2014/main" id="{00000000-0008-0000-3500-0000C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07" name="image13.png">
          <a:extLst>
            <a:ext uri="{FF2B5EF4-FFF2-40B4-BE49-F238E27FC236}">
              <a16:creationId xmlns:a16="http://schemas.microsoft.com/office/drawing/2014/main" id="{00000000-0008-0000-3500-0000C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08" name="image11.png">
          <a:extLst>
            <a:ext uri="{FF2B5EF4-FFF2-40B4-BE49-F238E27FC236}">
              <a16:creationId xmlns:a16="http://schemas.microsoft.com/office/drawing/2014/main" id="{00000000-0008-0000-3500-0000D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09" name="image11.png">
          <a:extLst>
            <a:ext uri="{FF2B5EF4-FFF2-40B4-BE49-F238E27FC236}">
              <a16:creationId xmlns:a16="http://schemas.microsoft.com/office/drawing/2014/main" id="{00000000-0008-0000-3500-0000D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10" name="image13.png">
          <a:extLst>
            <a:ext uri="{FF2B5EF4-FFF2-40B4-BE49-F238E27FC236}">
              <a16:creationId xmlns:a16="http://schemas.microsoft.com/office/drawing/2014/main" id="{00000000-0008-0000-3500-0000D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11" name="image11.png">
          <a:extLst>
            <a:ext uri="{FF2B5EF4-FFF2-40B4-BE49-F238E27FC236}">
              <a16:creationId xmlns:a16="http://schemas.microsoft.com/office/drawing/2014/main" id="{00000000-0008-0000-3500-0000D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12" name="image11.png">
          <a:extLst>
            <a:ext uri="{FF2B5EF4-FFF2-40B4-BE49-F238E27FC236}">
              <a16:creationId xmlns:a16="http://schemas.microsoft.com/office/drawing/2014/main" id="{00000000-0008-0000-3500-0000D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13" name="image13.png">
          <a:extLst>
            <a:ext uri="{FF2B5EF4-FFF2-40B4-BE49-F238E27FC236}">
              <a16:creationId xmlns:a16="http://schemas.microsoft.com/office/drawing/2014/main" id="{00000000-0008-0000-3500-0000D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14" name="image11.png">
          <a:extLst>
            <a:ext uri="{FF2B5EF4-FFF2-40B4-BE49-F238E27FC236}">
              <a16:creationId xmlns:a16="http://schemas.microsoft.com/office/drawing/2014/main" id="{00000000-0008-0000-3500-0000D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15" name="image11.png">
          <a:extLst>
            <a:ext uri="{FF2B5EF4-FFF2-40B4-BE49-F238E27FC236}">
              <a16:creationId xmlns:a16="http://schemas.microsoft.com/office/drawing/2014/main" id="{00000000-0008-0000-3500-0000D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16" name="image13.png">
          <a:extLst>
            <a:ext uri="{FF2B5EF4-FFF2-40B4-BE49-F238E27FC236}">
              <a16:creationId xmlns:a16="http://schemas.microsoft.com/office/drawing/2014/main" id="{00000000-0008-0000-3500-0000D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17" name="image11.png">
          <a:extLst>
            <a:ext uri="{FF2B5EF4-FFF2-40B4-BE49-F238E27FC236}">
              <a16:creationId xmlns:a16="http://schemas.microsoft.com/office/drawing/2014/main" id="{00000000-0008-0000-3500-0000D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18" name="image11.png">
          <a:extLst>
            <a:ext uri="{FF2B5EF4-FFF2-40B4-BE49-F238E27FC236}">
              <a16:creationId xmlns:a16="http://schemas.microsoft.com/office/drawing/2014/main" id="{00000000-0008-0000-3500-0000D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19" name="image13.png">
          <a:extLst>
            <a:ext uri="{FF2B5EF4-FFF2-40B4-BE49-F238E27FC236}">
              <a16:creationId xmlns:a16="http://schemas.microsoft.com/office/drawing/2014/main" id="{00000000-0008-0000-3500-0000D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20" name="image11.png">
          <a:extLst>
            <a:ext uri="{FF2B5EF4-FFF2-40B4-BE49-F238E27FC236}">
              <a16:creationId xmlns:a16="http://schemas.microsoft.com/office/drawing/2014/main" id="{00000000-0008-0000-3500-0000D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21" name="image11.png">
          <a:extLst>
            <a:ext uri="{FF2B5EF4-FFF2-40B4-BE49-F238E27FC236}">
              <a16:creationId xmlns:a16="http://schemas.microsoft.com/office/drawing/2014/main" id="{00000000-0008-0000-3500-0000D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22" name="image13.png">
          <a:extLst>
            <a:ext uri="{FF2B5EF4-FFF2-40B4-BE49-F238E27FC236}">
              <a16:creationId xmlns:a16="http://schemas.microsoft.com/office/drawing/2014/main" id="{00000000-0008-0000-3500-0000D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23" name="image11.png">
          <a:extLst>
            <a:ext uri="{FF2B5EF4-FFF2-40B4-BE49-F238E27FC236}">
              <a16:creationId xmlns:a16="http://schemas.microsoft.com/office/drawing/2014/main" id="{00000000-0008-0000-3500-0000D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24" name="image11.png">
          <a:extLst>
            <a:ext uri="{FF2B5EF4-FFF2-40B4-BE49-F238E27FC236}">
              <a16:creationId xmlns:a16="http://schemas.microsoft.com/office/drawing/2014/main" id="{00000000-0008-0000-3500-0000E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25" name="image13.png">
          <a:extLst>
            <a:ext uri="{FF2B5EF4-FFF2-40B4-BE49-F238E27FC236}">
              <a16:creationId xmlns:a16="http://schemas.microsoft.com/office/drawing/2014/main" id="{00000000-0008-0000-3500-0000E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26" name="image11.png">
          <a:extLst>
            <a:ext uri="{FF2B5EF4-FFF2-40B4-BE49-F238E27FC236}">
              <a16:creationId xmlns:a16="http://schemas.microsoft.com/office/drawing/2014/main" id="{00000000-0008-0000-3500-0000E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27" name="image11.png">
          <a:extLst>
            <a:ext uri="{FF2B5EF4-FFF2-40B4-BE49-F238E27FC236}">
              <a16:creationId xmlns:a16="http://schemas.microsoft.com/office/drawing/2014/main" id="{00000000-0008-0000-3500-0000E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28" name="image13.png">
          <a:extLst>
            <a:ext uri="{FF2B5EF4-FFF2-40B4-BE49-F238E27FC236}">
              <a16:creationId xmlns:a16="http://schemas.microsoft.com/office/drawing/2014/main" id="{00000000-0008-0000-3500-0000E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29" name="image11.png">
          <a:extLst>
            <a:ext uri="{FF2B5EF4-FFF2-40B4-BE49-F238E27FC236}">
              <a16:creationId xmlns:a16="http://schemas.microsoft.com/office/drawing/2014/main" id="{00000000-0008-0000-3500-0000E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30" name="image11.png">
          <a:extLst>
            <a:ext uri="{FF2B5EF4-FFF2-40B4-BE49-F238E27FC236}">
              <a16:creationId xmlns:a16="http://schemas.microsoft.com/office/drawing/2014/main" id="{00000000-0008-0000-3500-0000E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31" name="image13.png">
          <a:extLst>
            <a:ext uri="{FF2B5EF4-FFF2-40B4-BE49-F238E27FC236}">
              <a16:creationId xmlns:a16="http://schemas.microsoft.com/office/drawing/2014/main" id="{00000000-0008-0000-3500-0000E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32" name="image11.png">
          <a:extLst>
            <a:ext uri="{FF2B5EF4-FFF2-40B4-BE49-F238E27FC236}">
              <a16:creationId xmlns:a16="http://schemas.microsoft.com/office/drawing/2014/main" id="{00000000-0008-0000-3500-0000E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33" name="image11.png">
          <a:extLst>
            <a:ext uri="{FF2B5EF4-FFF2-40B4-BE49-F238E27FC236}">
              <a16:creationId xmlns:a16="http://schemas.microsoft.com/office/drawing/2014/main" id="{00000000-0008-0000-3500-0000E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34" name="image13.png">
          <a:extLst>
            <a:ext uri="{FF2B5EF4-FFF2-40B4-BE49-F238E27FC236}">
              <a16:creationId xmlns:a16="http://schemas.microsoft.com/office/drawing/2014/main" id="{00000000-0008-0000-3500-0000E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35" name="image11.png">
          <a:extLst>
            <a:ext uri="{FF2B5EF4-FFF2-40B4-BE49-F238E27FC236}">
              <a16:creationId xmlns:a16="http://schemas.microsoft.com/office/drawing/2014/main" id="{00000000-0008-0000-3500-0000E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36" name="image11.png">
          <a:extLst>
            <a:ext uri="{FF2B5EF4-FFF2-40B4-BE49-F238E27FC236}">
              <a16:creationId xmlns:a16="http://schemas.microsoft.com/office/drawing/2014/main" id="{00000000-0008-0000-3500-0000E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37" name="image13.png">
          <a:extLst>
            <a:ext uri="{FF2B5EF4-FFF2-40B4-BE49-F238E27FC236}">
              <a16:creationId xmlns:a16="http://schemas.microsoft.com/office/drawing/2014/main" id="{00000000-0008-0000-3500-0000E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38" name="image11.png">
          <a:extLst>
            <a:ext uri="{FF2B5EF4-FFF2-40B4-BE49-F238E27FC236}">
              <a16:creationId xmlns:a16="http://schemas.microsoft.com/office/drawing/2014/main" id="{00000000-0008-0000-3500-0000E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39" name="image11.png">
          <a:extLst>
            <a:ext uri="{FF2B5EF4-FFF2-40B4-BE49-F238E27FC236}">
              <a16:creationId xmlns:a16="http://schemas.microsoft.com/office/drawing/2014/main" id="{00000000-0008-0000-3500-0000E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40" name="image13.png">
          <a:extLst>
            <a:ext uri="{FF2B5EF4-FFF2-40B4-BE49-F238E27FC236}">
              <a16:creationId xmlns:a16="http://schemas.microsoft.com/office/drawing/2014/main" id="{00000000-0008-0000-3500-0000F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41" name="image11.png">
          <a:extLst>
            <a:ext uri="{FF2B5EF4-FFF2-40B4-BE49-F238E27FC236}">
              <a16:creationId xmlns:a16="http://schemas.microsoft.com/office/drawing/2014/main" id="{00000000-0008-0000-3500-0000F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42" name="image11.png">
          <a:extLst>
            <a:ext uri="{FF2B5EF4-FFF2-40B4-BE49-F238E27FC236}">
              <a16:creationId xmlns:a16="http://schemas.microsoft.com/office/drawing/2014/main" id="{00000000-0008-0000-3500-0000F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43" name="image13.png">
          <a:extLst>
            <a:ext uri="{FF2B5EF4-FFF2-40B4-BE49-F238E27FC236}">
              <a16:creationId xmlns:a16="http://schemas.microsoft.com/office/drawing/2014/main" id="{00000000-0008-0000-3500-0000F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44" name="image11.png">
          <a:extLst>
            <a:ext uri="{FF2B5EF4-FFF2-40B4-BE49-F238E27FC236}">
              <a16:creationId xmlns:a16="http://schemas.microsoft.com/office/drawing/2014/main" id="{00000000-0008-0000-3500-0000F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45" name="image11.png">
          <a:extLst>
            <a:ext uri="{FF2B5EF4-FFF2-40B4-BE49-F238E27FC236}">
              <a16:creationId xmlns:a16="http://schemas.microsoft.com/office/drawing/2014/main" id="{00000000-0008-0000-3500-0000F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46" name="image13.png">
          <a:extLst>
            <a:ext uri="{FF2B5EF4-FFF2-40B4-BE49-F238E27FC236}">
              <a16:creationId xmlns:a16="http://schemas.microsoft.com/office/drawing/2014/main" id="{00000000-0008-0000-3500-0000F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19</xdr:row>
      <xdr:rowOff>57150</xdr:rowOff>
    </xdr:from>
    <xdr:ext cx="0" cy="38100"/>
    <xdr:pic>
      <xdr:nvPicPr>
        <xdr:cNvPr id="247" name="image11.png">
          <a:extLst>
            <a:ext uri="{FF2B5EF4-FFF2-40B4-BE49-F238E27FC236}">
              <a16:creationId xmlns:a16="http://schemas.microsoft.com/office/drawing/2014/main" id="{00000000-0008-0000-3500-0000F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20</xdr:row>
      <xdr:rowOff>57150</xdr:rowOff>
    </xdr:from>
    <xdr:ext cx="0" cy="38100"/>
    <xdr:pic>
      <xdr:nvPicPr>
        <xdr:cNvPr id="248" name="image11.png">
          <a:extLst>
            <a:ext uri="{FF2B5EF4-FFF2-40B4-BE49-F238E27FC236}">
              <a16:creationId xmlns:a16="http://schemas.microsoft.com/office/drawing/2014/main" id="{00000000-0008-0000-3500-0000F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20</xdr:row>
      <xdr:rowOff>57150</xdr:rowOff>
    </xdr:from>
    <xdr:ext cx="0" cy="38100"/>
    <xdr:pic>
      <xdr:nvPicPr>
        <xdr:cNvPr id="249" name="image13.png">
          <a:extLst>
            <a:ext uri="{FF2B5EF4-FFF2-40B4-BE49-F238E27FC236}">
              <a16:creationId xmlns:a16="http://schemas.microsoft.com/office/drawing/2014/main" id="{00000000-0008-0000-3500-0000F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20</xdr:row>
      <xdr:rowOff>57150</xdr:rowOff>
    </xdr:from>
    <xdr:ext cx="0" cy="38100"/>
    <xdr:pic>
      <xdr:nvPicPr>
        <xdr:cNvPr id="250" name="image11.png">
          <a:extLst>
            <a:ext uri="{FF2B5EF4-FFF2-40B4-BE49-F238E27FC236}">
              <a16:creationId xmlns:a16="http://schemas.microsoft.com/office/drawing/2014/main" id="{00000000-0008-0000-3500-0000F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20</xdr:row>
      <xdr:rowOff>57150</xdr:rowOff>
    </xdr:from>
    <xdr:ext cx="0" cy="38100"/>
    <xdr:pic>
      <xdr:nvPicPr>
        <xdr:cNvPr id="251" name="image11.png">
          <a:extLst>
            <a:ext uri="{FF2B5EF4-FFF2-40B4-BE49-F238E27FC236}">
              <a16:creationId xmlns:a16="http://schemas.microsoft.com/office/drawing/2014/main" id="{00000000-0008-0000-3500-0000F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20</xdr:row>
      <xdr:rowOff>57150</xdr:rowOff>
    </xdr:from>
    <xdr:ext cx="0" cy="38100"/>
    <xdr:pic>
      <xdr:nvPicPr>
        <xdr:cNvPr id="252" name="image13.png">
          <a:extLst>
            <a:ext uri="{FF2B5EF4-FFF2-40B4-BE49-F238E27FC236}">
              <a16:creationId xmlns:a16="http://schemas.microsoft.com/office/drawing/2014/main" id="{00000000-0008-0000-3500-0000F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20</xdr:row>
      <xdr:rowOff>57150</xdr:rowOff>
    </xdr:from>
    <xdr:ext cx="0" cy="38100"/>
    <xdr:pic>
      <xdr:nvPicPr>
        <xdr:cNvPr id="253" name="image11.png">
          <a:extLst>
            <a:ext uri="{FF2B5EF4-FFF2-40B4-BE49-F238E27FC236}">
              <a16:creationId xmlns:a16="http://schemas.microsoft.com/office/drawing/2014/main" id="{00000000-0008-0000-3500-0000F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21</xdr:row>
      <xdr:rowOff>57150</xdr:rowOff>
    </xdr:from>
    <xdr:ext cx="0" cy="38100"/>
    <xdr:pic>
      <xdr:nvPicPr>
        <xdr:cNvPr id="254" name="image11.png">
          <a:extLst>
            <a:ext uri="{FF2B5EF4-FFF2-40B4-BE49-F238E27FC236}">
              <a16:creationId xmlns:a16="http://schemas.microsoft.com/office/drawing/2014/main" id="{00000000-0008-0000-3500-0000F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21</xdr:row>
      <xdr:rowOff>57150</xdr:rowOff>
    </xdr:from>
    <xdr:ext cx="0" cy="38100"/>
    <xdr:pic>
      <xdr:nvPicPr>
        <xdr:cNvPr id="255" name="image13.png">
          <a:extLst>
            <a:ext uri="{FF2B5EF4-FFF2-40B4-BE49-F238E27FC236}">
              <a16:creationId xmlns:a16="http://schemas.microsoft.com/office/drawing/2014/main" id="{00000000-0008-0000-3500-0000F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21</xdr:row>
      <xdr:rowOff>57150</xdr:rowOff>
    </xdr:from>
    <xdr:ext cx="0" cy="38100"/>
    <xdr:pic>
      <xdr:nvPicPr>
        <xdr:cNvPr id="256" name="image11.png">
          <a:extLst>
            <a:ext uri="{FF2B5EF4-FFF2-40B4-BE49-F238E27FC236}">
              <a16:creationId xmlns:a16="http://schemas.microsoft.com/office/drawing/2014/main" id="{00000000-0008-0000-3500-00000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21</xdr:row>
      <xdr:rowOff>57150</xdr:rowOff>
    </xdr:from>
    <xdr:ext cx="0" cy="38100"/>
    <xdr:pic>
      <xdr:nvPicPr>
        <xdr:cNvPr id="257" name="image11.png">
          <a:extLst>
            <a:ext uri="{FF2B5EF4-FFF2-40B4-BE49-F238E27FC236}">
              <a16:creationId xmlns:a16="http://schemas.microsoft.com/office/drawing/2014/main" id="{00000000-0008-0000-3500-00000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21</xdr:row>
      <xdr:rowOff>57150</xdr:rowOff>
    </xdr:from>
    <xdr:ext cx="0" cy="38100"/>
    <xdr:pic>
      <xdr:nvPicPr>
        <xdr:cNvPr id="258" name="image13.png">
          <a:extLst>
            <a:ext uri="{FF2B5EF4-FFF2-40B4-BE49-F238E27FC236}">
              <a16:creationId xmlns:a16="http://schemas.microsoft.com/office/drawing/2014/main" id="{00000000-0008-0000-3500-00000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21</xdr:row>
      <xdr:rowOff>57150</xdr:rowOff>
    </xdr:from>
    <xdr:ext cx="0" cy="38100"/>
    <xdr:pic>
      <xdr:nvPicPr>
        <xdr:cNvPr id="259" name="image11.png">
          <a:extLst>
            <a:ext uri="{FF2B5EF4-FFF2-40B4-BE49-F238E27FC236}">
              <a16:creationId xmlns:a16="http://schemas.microsoft.com/office/drawing/2014/main" id="{00000000-0008-0000-3500-00000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22</xdr:row>
      <xdr:rowOff>57150</xdr:rowOff>
    </xdr:from>
    <xdr:ext cx="0" cy="38100"/>
    <xdr:pic>
      <xdr:nvPicPr>
        <xdr:cNvPr id="260" name="image11.png">
          <a:extLst>
            <a:ext uri="{FF2B5EF4-FFF2-40B4-BE49-F238E27FC236}">
              <a16:creationId xmlns:a16="http://schemas.microsoft.com/office/drawing/2014/main" id="{00000000-0008-0000-3500-00000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22</xdr:row>
      <xdr:rowOff>57150</xdr:rowOff>
    </xdr:from>
    <xdr:ext cx="0" cy="38100"/>
    <xdr:pic>
      <xdr:nvPicPr>
        <xdr:cNvPr id="261" name="image13.png">
          <a:extLst>
            <a:ext uri="{FF2B5EF4-FFF2-40B4-BE49-F238E27FC236}">
              <a16:creationId xmlns:a16="http://schemas.microsoft.com/office/drawing/2014/main" id="{00000000-0008-0000-3500-00000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22</xdr:row>
      <xdr:rowOff>57150</xdr:rowOff>
    </xdr:from>
    <xdr:ext cx="0" cy="38100"/>
    <xdr:pic>
      <xdr:nvPicPr>
        <xdr:cNvPr id="262" name="image11.png">
          <a:extLst>
            <a:ext uri="{FF2B5EF4-FFF2-40B4-BE49-F238E27FC236}">
              <a16:creationId xmlns:a16="http://schemas.microsoft.com/office/drawing/2014/main" id="{00000000-0008-0000-3500-00000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22</xdr:row>
      <xdr:rowOff>57150</xdr:rowOff>
    </xdr:from>
    <xdr:ext cx="0" cy="38100"/>
    <xdr:pic>
      <xdr:nvPicPr>
        <xdr:cNvPr id="263" name="image11.png">
          <a:extLst>
            <a:ext uri="{FF2B5EF4-FFF2-40B4-BE49-F238E27FC236}">
              <a16:creationId xmlns:a16="http://schemas.microsoft.com/office/drawing/2014/main" id="{00000000-0008-0000-3500-00000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22</xdr:row>
      <xdr:rowOff>57150</xdr:rowOff>
    </xdr:from>
    <xdr:ext cx="0" cy="38100"/>
    <xdr:pic>
      <xdr:nvPicPr>
        <xdr:cNvPr id="264" name="image13.png">
          <a:extLst>
            <a:ext uri="{FF2B5EF4-FFF2-40B4-BE49-F238E27FC236}">
              <a16:creationId xmlns:a16="http://schemas.microsoft.com/office/drawing/2014/main" id="{00000000-0008-0000-3500-00000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22</xdr:row>
      <xdr:rowOff>57150</xdr:rowOff>
    </xdr:from>
    <xdr:ext cx="0" cy="38100"/>
    <xdr:pic>
      <xdr:nvPicPr>
        <xdr:cNvPr id="265" name="image11.png">
          <a:extLst>
            <a:ext uri="{FF2B5EF4-FFF2-40B4-BE49-F238E27FC236}">
              <a16:creationId xmlns:a16="http://schemas.microsoft.com/office/drawing/2014/main" id="{00000000-0008-0000-3500-00000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23</xdr:row>
      <xdr:rowOff>57150</xdr:rowOff>
    </xdr:from>
    <xdr:ext cx="0" cy="38100"/>
    <xdr:pic>
      <xdr:nvPicPr>
        <xdr:cNvPr id="266" name="image11.png">
          <a:extLst>
            <a:ext uri="{FF2B5EF4-FFF2-40B4-BE49-F238E27FC236}">
              <a16:creationId xmlns:a16="http://schemas.microsoft.com/office/drawing/2014/main" id="{00000000-0008-0000-3500-00000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23</xdr:row>
      <xdr:rowOff>57150</xdr:rowOff>
    </xdr:from>
    <xdr:ext cx="0" cy="38100"/>
    <xdr:pic>
      <xdr:nvPicPr>
        <xdr:cNvPr id="267" name="image13.png">
          <a:extLst>
            <a:ext uri="{FF2B5EF4-FFF2-40B4-BE49-F238E27FC236}">
              <a16:creationId xmlns:a16="http://schemas.microsoft.com/office/drawing/2014/main" id="{00000000-0008-0000-3500-00000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23</xdr:row>
      <xdr:rowOff>57150</xdr:rowOff>
    </xdr:from>
    <xdr:ext cx="0" cy="38100"/>
    <xdr:pic>
      <xdr:nvPicPr>
        <xdr:cNvPr id="268" name="image11.png">
          <a:extLst>
            <a:ext uri="{FF2B5EF4-FFF2-40B4-BE49-F238E27FC236}">
              <a16:creationId xmlns:a16="http://schemas.microsoft.com/office/drawing/2014/main" id="{00000000-0008-0000-3500-00000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23</xdr:row>
      <xdr:rowOff>57150</xdr:rowOff>
    </xdr:from>
    <xdr:ext cx="0" cy="38100"/>
    <xdr:pic>
      <xdr:nvPicPr>
        <xdr:cNvPr id="269" name="image11.png">
          <a:extLst>
            <a:ext uri="{FF2B5EF4-FFF2-40B4-BE49-F238E27FC236}">
              <a16:creationId xmlns:a16="http://schemas.microsoft.com/office/drawing/2014/main" id="{00000000-0008-0000-3500-00000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23</xdr:row>
      <xdr:rowOff>57150</xdr:rowOff>
    </xdr:from>
    <xdr:ext cx="0" cy="38100"/>
    <xdr:pic>
      <xdr:nvPicPr>
        <xdr:cNvPr id="270" name="image13.png">
          <a:extLst>
            <a:ext uri="{FF2B5EF4-FFF2-40B4-BE49-F238E27FC236}">
              <a16:creationId xmlns:a16="http://schemas.microsoft.com/office/drawing/2014/main" id="{00000000-0008-0000-3500-00000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23</xdr:row>
      <xdr:rowOff>57150</xdr:rowOff>
    </xdr:from>
    <xdr:ext cx="0" cy="38100"/>
    <xdr:pic>
      <xdr:nvPicPr>
        <xdr:cNvPr id="271" name="image11.png">
          <a:extLst>
            <a:ext uri="{FF2B5EF4-FFF2-40B4-BE49-F238E27FC236}">
              <a16:creationId xmlns:a16="http://schemas.microsoft.com/office/drawing/2014/main" id="{00000000-0008-0000-3500-00000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24</xdr:row>
      <xdr:rowOff>57150</xdr:rowOff>
    </xdr:from>
    <xdr:ext cx="0" cy="38100"/>
    <xdr:pic>
      <xdr:nvPicPr>
        <xdr:cNvPr id="272" name="image11.png">
          <a:extLst>
            <a:ext uri="{FF2B5EF4-FFF2-40B4-BE49-F238E27FC236}">
              <a16:creationId xmlns:a16="http://schemas.microsoft.com/office/drawing/2014/main" id="{00000000-0008-0000-3500-00001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24</xdr:row>
      <xdr:rowOff>57150</xdr:rowOff>
    </xdr:from>
    <xdr:ext cx="0" cy="38100"/>
    <xdr:pic>
      <xdr:nvPicPr>
        <xdr:cNvPr id="273" name="image13.png">
          <a:extLst>
            <a:ext uri="{FF2B5EF4-FFF2-40B4-BE49-F238E27FC236}">
              <a16:creationId xmlns:a16="http://schemas.microsoft.com/office/drawing/2014/main" id="{00000000-0008-0000-3500-00001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24</xdr:row>
      <xdr:rowOff>57150</xdr:rowOff>
    </xdr:from>
    <xdr:ext cx="0" cy="38100"/>
    <xdr:pic>
      <xdr:nvPicPr>
        <xdr:cNvPr id="274" name="image11.png">
          <a:extLst>
            <a:ext uri="{FF2B5EF4-FFF2-40B4-BE49-F238E27FC236}">
              <a16:creationId xmlns:a16="http://schemas.microsoft.com/office/drawing/2014/main" id="{00000000-0008-0000-3500-00001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24</xdr:row>
      <xdr:rowOff>57150</xdr:rowOff>
    </xdr:from>
    <xdr:ext cx="0" cy="38100"/>
    <xdr:pic>
      <xdr:nvPicPr>
        <xdr:cNvPr id="275" name="image11.png">
          <a:extLst>
            <a:ext uri="{FF2B5EF4-FFF2-40B4-BE49-F238E27FC236}">
              <a16:creationId xmlns:a16="http://schemas.microsoft.com/office/drawing/2014/main" id="{00000000-0008-0000-3500-00001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24</xdr:row>
      <xdr:rowOff>57150</xdr:rowOff>
    </xdr:from>
    <xdr:ext cx="0" cy="38100"/>
    <xdr:pic>
      <xdr:nvPicPr>
        <xdr:cNvPr id="276" name="image13.png">
          <a:extLst>
            <a:ext uri="{FF2B5EF4-FFF2-40B4-BE49-F238E27FC236}">
              <a16:creationId xmlns:a16="http://schemas.microsoft.com/office/drawing/2014/main" id="{00000000-0008-0000-3500-00001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24</xdr:row>
      <xdr:rowOff>57150</xdr:rowOff>
    </xdr:from>
    <xdr:ext cx="0" cy="38100"/>
    <xdr:pic>
      <xdr:nvPicPr>
        <xdr:cNvPr id="277" name="image11.png">
          <a:extLst>
            <a:ext uri="{FF2B5EF4-FFF2-40B4-BE49-F238E27FC236}">
              <a16:creationId xmlns:a16="http://schemas.microsoft.com/office/drawing/2014/main" id="{00000000-0008-0000-3500-00001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0</xdr:colOff>
      <xdr:row>19</xdr:row>
      <xdr:rowOff>0</xdr:rowOff>
    </xdr:from>
    <xdr:ext cx="0" cy="38100"/>
    <xdr:pic>
      <xdr:nvPicPr>
        <xdr:cNvPr id="278" name="image11.png">
          <a:extLst>
            <a:ext uri="{FF2B5EF4-FFF2-40B4-BE49-F238E27FC236}">
              <a16:creationId xmlns:a16="http://schemas.microsoft.com/office/drawing/2014/main" id="{00000000-0008-0000-3500-00001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0</xdr:colOff>
      <xdr:row>19</xdr:row>
      <xdr:rowOff>0</xdr:rowOff>
    </xdr:from>
    <xdr:ext cx="0" cy="38100"/>
    <xdr:pic>
      <xdr:nvPicPr>
        <xdr:cNvPr id="279" name="image13.png">
          <a:extLst>
            <a:ext uri="{FF2B5EF4-FFF2-40B4-BE49-F238E27FC236}">
              <a16:creationId xmlns:a16="http://schemas.microsoft.com/office/drawing/2014/main" id="{00000000-0008-0000-3500-00001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0</xdr:colOff>
      <xdr:row>19</xdr:row>
      <xdr:rowOff>0</xdr:rowOff>
    </xdr:from>
    <xdr:ext cx="0" cy="38100"/>
    <xdr:pic>
      <xdr:nvPicPr>
        <xdr:cNvPr id="280" name="image11.png">
          <a:extLst>
            <a:ext uri="{FF2B5EF4-FFF2-40B4-BE49-F238E27FC236}">
              <a16:creationId xmlns:a16="http://schemas.microsoft.com/office/drawing/2014/main" id="{00000000-0008-0000-3500-00001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0</xdr:colOff>
      <xdr:row>19</xdr:row>
      <xdr:rowOff>0</xdr:rowOff>
    </xdr:from>
    <xdr:ext cx="0" cy="38100"/>
    <xdr:pic>
      <xdr:nvPicPr>
        <xdr:cNvPr id="281" name="image11.png">
          <a:extLst>
            <a:ext uri="{FF2B5EF4-FFF2-40B4-BE49-F238E27FC236}">
              <a16:creationId xmlns:a16="http://schemas.microsoft.com/office/drawing/2014/main" id="{00000000-0008-0000-3500-00001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0</xdr:colOff>
      <xdr:row>19</xdr:row>
      <xdr:rowOff>0</xdr:rowOff>
    </xdr:from>
    <xdr:ext cx="0" cy="38100"/>
    <xdr:pic>
      <xdr:nvPicPr>
        <xdr:cNvPr id="282" name="image13.png">
          <a:extLst>
            <a:ext uri="{FF2B5EF4-FFF2-40B4-BE49-F238E27FC236}">
              <a16:creationId xmlns:a16="http://schemas.microsoft.com/office/drawing/2014/main" id="{00000000-0008-0000-3500-00001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0</xdr:colOff>
      <xdr:row>19</xdr:row>
      <xdr:rowOff>0</xdr:rowOff>
    </xdr:from>
    <xdr:ext cx="0" cy="38100"/>
    <xdr:pic>
      <xdr:nvPicPr>
        <xdr:cNvPr id="283" name="image11.png">
          <a:extLst>
            <a:ext uri="{FF2B5EF4-FFF2-40B4-BE49-F238E27FC236}">
              <a16:creationId xmlns:a16="http://schemas.microsoft.com/office/drawing/2014/main" id="{00000000-0008-0000-3500-00001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21</xdr:row>
      <xdr:rowOff>66675</xdr:rowOff>
    </xdr:from>
    <xdr:ext cx="0" cy="361950"/>
    <xdr:pic>
      <xdr:nvPicPr>
        <xdr:cNvPr id="284" name="image4.png">
          <a:extLst>
            <a:ext uri="{FF2B5EF4-FFF2-40B4-BE49-F238E27FC236}">
              <a16:creationId xmlns:a16="http://schemas.microsoft.com/office/drawing/2014/main" id="{00000000-0008-0000-3500-00001C01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xdr:col>
      <xdr:colOff>0</xdr:colOff>
      <xdr:row>21</xdr:row>
      <xdr:rowOff>66675</xdr:rowOff>
    </xdr:from>
    <xdr:ext cx="0" cy="361950"/>
    <xdr:pic>
      <xdr:nvPicPr>
        <xdr:cNvPr id="285" name="image2.png">
          <a:extLst>
            <a:ext uri="{FF2B5EF4-FFF2-40B4-BE49-F238E27FC236}">
              <a16:creationId xmlns:a16="http://schemas.microsoft.com/office/drawing/2014/main" id="{00000000-0008-0000-3500-00001D01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1</xdr:col>
      <xdr:colOff>0</xdr:colOff>
      <xdr:row>21</xdr:row>
      <xdr:rowOff>66675</xdr:rowOff>
    </xdr:from>
    <xdr:ext cx="0" cy="361950"/>
    <xdr:pic>
      <xdr:nvPicPr>
        <xdr:cNvPr id="286" name="image4.png">
          <a:extLst>
            <a:ext uri="{FF2B5EF4-FFF2-40B4-BE49-F238E27FC236}">
              <a16:creationId xmlns:a16="http://schemas.microsoft.com/office/drawing/2014/main" id="{00000000-0008-0000-3500-00001E01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xdr:col>
      <xdr:colOff>0</xdr:colOff>
      <xdr:row>21</xdr:row>
      <xdr:rowOff>66675</xdr:rowOff>
    </xdr:from>
    <xdr:ext cx="0" cy="361950"/>
    <xdr:pic>
      <xdr:nvPicPr>
        <xdr:cNvPr id="287" name="image4.png">
          <a:extLst>
            <a:ext uri="{FF2B5EF4-FFF2-40B4-BE49-F238E27FC236}">
              <a16:creationId xmlns:a16="http://schemas.microsoft.com/office/drawing/2014/main" id="{00000000-0008-0000-3500-00001F01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xdr:col>
      <xdr:colOff>0</xdr:colOff>
      <xdr:row>21</xdr:row>
      <xdr:rowOff>66675</xdr:rowOff>
    </xdr:from>
    <xdr:ext cx="0" cy="361950"/>
    <xdr:pic>
      <xdr:nvPicPr>
        <xdr:cNvPr id="288" name="image2.png">
          <a:extLst>
            <a:ext uri="{FF2B5EF4-FFF2-40B4-BE49-F238E27FC236}">
              <a16:creationId xmlns:a16="http://schemas.microsoft.com/office/drawing/2014/main" id="{00000000-0008-0000-3500-00002001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1</xdr:col>
      <xdr:colOff>0</xdr:colOff>
      <xdr:row>21</xdr:row>
      <xdr:rowOff>66675</xdr:rowOff>
    </xdr:from>
    <xdr:ext cx="0" cy="361950"/>
    <xdr:pic>
      <xdr:nvPicPr>
        <xdr:cNvPr id="289" name="image4.png">
          <a:extLst>
            <a:ext uri="{FF2B5EF4-FFF2-40B4-BE49-F238E27FC236}">
              <a16:creationId xmlns:a16="http://schemas.microsoft.com/office/drawing/2014/main" id="{00000000-0008-0000-3500-00002101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astrazeneca.com/investor-relations/corporate-governance.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A5DB0"/>
  </sheetPr>
  <dimension ref="A1:Z1000"/>
  <sheetViews>
    <sheetView tabSelected="1" zoomScaleNormal="100" workbookViewId="0">
      <selection activeCell="A107" sqref="A107"/>
    </sheetView>
  </sheetViews>
  <sheetFormatPr defaultColWidth="14.44140625" defaultRowHeight="15.75" customHeight="1" x14ac:dyDescent="0.25"/>
  <cols>
    <col min="1" max="1" width="13.109375" customWidth="1"/>
    <col min="2" max="13" width="8.88671875" customWidth="1"/>
    <col min="14" max="14" width="5.109375" customWidth="1"/>
    <col min="15" max="19" width="8.88671875" customWidth="1"/>
    <col min="20" max="26" width="8.6640625" customWidth="1"/>
  </cols>
  <sheetData>
    <row r="1" spans="1:26" ht="14.25" customHeight="1" x14ac:dyDescent="0.3">
      <c r="A1" s="286"/>
      <c r="B1" s="286"/>
      <c r="C1" s="286"/>
      <c r="D1" s="286"/>
      <c r="E1" s="286"/>
      <c r="F1" s="286"/>
      <c r="G1" s="286"/>
      <c r="H1" s="286"/>
      <c r="I1" s="286"/>
      <c r="J1" s="286"/>
      <c r="K1" s="286"/>
      <c r="L1" s="286"/>
      <c r="M1" s="286"/>
      <c r="N1" s="286"/>
      <c r="O1" s="286"/>
      <c r="P1" s="286"/>
      <c r="Q1" s="286"/>
      <c r="R1" s="286"/>
      <c r="S1" s="286"/>
      <c r="T1" s="286"/>
      <c r="U1" s="286"/>
      <c r="V1" s="1"/>
      <c r="W1" s="1"/>
      <c r="X1" s="1"/>
      <c r="Y1" s="1"/>
      <c r="Z1" s="1"/>
    </row>
    <row r="2" spans="1:26" ht="14.25" customHeight="1" x14ac:dyDescent="0.3">
      <c r="A2" s="286"/>
      <c r="B2" s="286"/>
      <c r="C2" s="286"/>
      <c r="D2" s="286"/>
      <c r="E2" s="286"/>
      <c r="F2" s="286"/>
      <c r="G2" s="286"/>
      <c r="H2" s="286"/>
      <c r="I2" s="286"/>
      <c r="J2" s="286"/>
      <c r="K2" s="286"/>
      <c r="L2" s="286"/>
      <c r="M2" s="286"/>
      <c r="N2" s="286"/>
      <c r="O2" s="286"/>
      <c r="P2" s="286"/>
      <c r="Q2" s="286"/>
      <c r="R2" s="286"/>
      <c r="S2" s="286"/>
      <c r="T2" s="286"/>
      <c r="U2" s="286"/>
      <c r="V2" s="1"/>
      <c r="W2" s="1"/>
      <c r="X2" s="1"/>
      <c r="Y2" s="1"/>
      <c r="Z2" s="1"/>
    </row>
    <row r="3" spans="1:26" ht="19.5" customHeight="1" x14ac:dyDescent="0.3">
      <c r="A3" s="286"/>
      <c r="B3" s="286"/>
      <c r="C3" s="286"/>
      <c r="D3" s="286"/>
      <c r="E3" s="286"/>
      <c r="F3" s="286"/>
      <c r="G3" s="286"/>
      <c r="H3" s="286"/>
      <c r="I3" s="286"/>
      <c r="J3" s="286"/>
      <c r="K3" s="286"/>
      <c r="L3" s="286"/>
      <c r="M3" s="286"/>
      <c r="N3" s="286"/>
      <c r="O3" s="286"/>
      <c r="P3" s="286"/>
      <c r="Q3" s="286"/>
      <c r="R3" s="286"/>
      <c r="S3" s="286"/>
      <c r="T3" s="286"/>
      <c r="U3" s="286"/>
      <c r="V3" s="1"/>
      <c r="W3" s="1"/>
      <c r="X3" s="1"/>
      <c r="Y3" s="1"/>
      <c r="Z3" s="1"/>
    </row>
    <row r="4" spans="1:26" ht="19.5" customHeight="1" x14ac:dyDescent="0.3">
      <c r="A4" s="286"/>
      <c r="B4" s="286"/>
      <c r="C4" s="286"/>
      <c r="D4" s="286"/>
      <c r="E4" s="286"/>
      <c r="F4" s="286"/>
      <c r="G4" s="286"/>
      <c r="H4" s="286"/>
      <c r="I4" s="286"/>
      <c r="J4" s="286"/>
      <c r="K4" s="286"/>
      <c r="L4" s="286"/>
      <c r="M4" s="286"/>
      <c r="N4" s="286"/>
      <c r="O4" s="286"/>
      <c r="P4" s="286"/>
      <c r="Q4" s="286"/>
      <c r="R4" s="286"/>
      <c r="S4" s="286"/>
      <c r="T4" s="286"/>
      <c r="U4" s="286"/>
      <c r="V4" s="1"/>
      <c r="W4" s="1"/>
      <c r="X4" s="1"/>
      <c r="Y4" s="1"/>
      <c r="Z4" s="1"/>
    </row>
    <row r="5" spans="1:26" ht="19.5" customHeight="1" x14ac:dyDescent="0.3">
      <c r="A5" s="286"/>
      <c r="B5" s="286"/>
      <c r="C5" s="286"/>
      <c r="D5" s="286"/>
      <c r="E5" s="286"/>
      <c r="F5" s="286"/>
      <c r="G5" s="286"/>
      <c r="H5" s="286"/>
      <c r="I5" s="286"/>
      <c r="J5" s="286"/>
      <c r="K5" s="286"/>
      <c r="L5" s="286"/>
      <c r="M5" s="286"/>
      <c r="N5" s="286"/>
      <c r="O5" s="286"/>
      <c r="P5" s="286"/>
      <c r="Q5" s="286"/>
      <c r="R5" s="286"/>
      <c r="S5" s="286"/>
      <c r="T5" s="286"/>
      <c r="U5" s="286"/>
      <c r="V5" s="1"/>
      <c r="W5" s="1"/>
      <c r="X5" s="1"/>
      <c r="Y5" s="1"/>
      <c r="Z5" s="1"/>
    </row>
    <row r="6" spans="1:26" ht="12.6" customHeight="1" x14ac:dyDescent="0.3">
      <c r="A6" s="286"/>
      <c r="B6" s="286"/>
      <c r="C6" s="286"/>
      <c r="D6" s="286"/>
      <c r="E6" s="286"/>
      <c r="F6" s="286"/>
      <c r="G6" s="286"/>
      <c r="H6" s="286"/>
      <c r="I6" s="286"/>
      <c r="J6" s="286"/>
      <c r="K6" s="286"/>
      <c r="L6" s="286"/>
      <c r="M6" s="286"/>
      <c r="N6" s="286"/>
      <c r="O6" s="286"/>
      <c r="P6" s="286"/>
      <c r="Q6" s="286"/>
      <c r="R6" s="286"/>
      <c r="S6" s="286"/>
      <c r="T6" s="286"/>
      <c r="U6" s="286"/>
      <c r="V6" s="1"/>
      <c r="W6" s="1"/>
      <c r="X6" s="1"/>
      <c r="Y6" s="1"/>
      <c r="Z6" s="1"/>
    </row>
    <row r="7" spans="1:26" ht="21.6" customHeight="1" x14ac:dyDescent="0.5">
      <c r="A7" s="286"/>
      <c r="B7" s="286"/>
      <c r="C7" s="286"/>
      <c r="D7" s="286"/>
      <c r="E7" s="286"/>
      <c r="F7" s="286"/>
      <c r="G7" s="286"/>
      <c r="H7" s="286"/>
      <c r="I7" s="286"/>
      <c r="J7" s="286"/>
      <c r="K7" s="286"/>
      <c r="L7" s="286"/>
      <c r="M7" s="286"/>
      <c r="N7" s="286"/>
      <c r="O7" s="287" t="s">
        <v>0</v>
      </c>
      <c r="P7" s="286"/>
      <c r="Q7" s="286"/>
      <c r="R7" s="286"/>
      <c r="S7" s="286"/>
      <c r="T7" s="286"/>
      <c r="U7" s="286"/>
      <c r="V7" s="1"/>
      <c r="W7" s="1"/>
      <c r="X7" s="1"/>
      <c r="Y7" s="1"/>
      <c r="Z7" s="1"/>
    </row>
    <row r="8" spans="1:26" ht="19.8" customHeight="1" x14ac:dyDescent="0.3">
      <c r="A8" s="286"/>
      <c r="B8" s="286"/>
      <c r="C8" s="286"/>
      <c r="D8" s="286"/>
      <c r="E8" s="286"/>
      <c r="F8" s="286"/>
      <c r="G8" s="286"/>
      <c r="H8" s="286"/>
      <c r="I8" s="286"/>
      <c r="J8" s="286"/>
      <c r="K8" s="286"/>
      <c r="L8" s="286"/>
      <c r="M8" s="286"/>
      <c r="N8" s="286"/>
      <c r="O8" s="286"/>
      <c r="P8" s="286"/>
      <c r="Q8" s="286"/>
      <c r="R8" s="286"/>
      <c r="S8" s="286"/>
      <c r="T8" s="286"/>
      <c r="U8" s="286"/>
      <c r="V8" s="1"/>
      <c r="W8" s="1"/>
      <c r="X8" s="1"/>
      <c r="Y8" s="1"/>
      <c r="Z8" s="1"/>
    </row>
    <row r="9" spans="1:26" ht="19.2" customHeight="1" x14ac:dyDescent="0.45">
      <c r="A9" s="286"/>
      <c r="B9" s="286"/>
      <c r="C9" s="286"/>
      <c r="D9" s="286"/>
      <c r="E9" s="286"/>
      <c r="F9" s="286"/>
      <c r="G9" s="286"/>
      <c r="H9" s="286"/>
      <c r="I9" s="286"/>
      <c r="J9" s="286"/>
      <c r="K9" s="286"/>
      <c r="L9" s="286"/>
      <c r="M9" s="286"/>
      <c r="N9" s="286"/>
      <c r="O9" s="288" t="s">
        <v>1</v>
      </c>
      <c r="P9" s="286"/>
      <c r="Q9" s="286"/>
      <c r="R9" s="286"/>
      <c r="S9" s="286"/>
      <c r="T9" s="286"/>
      <c r="U9" s="286"/>
      <c r="V9" s="1"/>
      <c r="W9" s="1"/>
      <c r="X9" s="1"/>
      <c r="Y9" s="1"/>
      <c r="Z9" s="1"/>
    </row>
    <row r="10" spans="1:26" ht="22.2" customHeight="1" x14ac:dyDescent="0.45">
      <c r="A10" s="286"/>
      <c r="B10" s="286"/>
      <c r="C10" s="286"/>
      <c r="D10" s="286"/>
      <c r="E10" s="286"/>
      <c r="F10" s="286"/>
      <c r="G10" s="286"/>
      <c r="H10" s="286"/>
      <c r="I10" s="286"/>
      <c r="J10" s="286"/>
      <c r="K10" s="286"/>
      <c r="L10" s="286"/>
      <c r="M10" s="286"/>
      <c r="N10" s="286"/>
      <c r="O10" s="288" t="s">
        <v>2</v>
      </c>
      <c r="P10" s="286"/>
      <c r="Q10" s="286"/>
      <c r="R10" s="286"/>
      <c r="S10" s="286"/>
      <c r="T10" s="286"/>
      <c r="U10" s="286"/>
      <c r="V10" s="1"/>
      <c r="W10" s="1"/>
      <c r="X10" s="1"/>
      <c r="Y10" s="1"/>
      <c r="Z10" s="1"/>
    </row>
    <row r="11" spans="1:26" ht="19.8" customHeight="1" x14ac:dyDescent="0.45">
      <c r="A11" s="286"/>
      <c r="B11" s="286"/>
      <c r="C11" s="286"/>
      <c r="D11" s="286"/>
      <c r="E11" s="286"/>
      <c r="F11" s="286"/>
      <c r="G11" s="286"/>
      <c r="H11" s="286"/>
      <c r="I11" s="286"/>
      <c r="J11" s="286"/>
      <c r="K11" s="286"/>
      <c r="L11" s="286"/>
      <c r="M11" s="286"/>
      <c r="N11" s="286"/>
      <c r="O11" s="288" t="s">
        <v>3</v>
      </c>
      <c r="P11" s="286"/>
      <c r="Q11" s="286"/>
      <c r="R11" s="286"/>
      <c r="S11" s="286"/>
      <c r="T11" s="286"/>
      <c r="U11" s="286"/>
      <c r="V11" s="1"/>
      <c r="W11" s="1"/>
      <c r="X11" s="1"/>
      <c r="Y11" s="1"/>
      <c r="Z11" s="1"/>
    </row>
    <row r="12" spans="1:26" ht="20.399999999999999" customHeight="1" x14ac:dyDescent="0.45">
      <c r="A12" s="286"/>
      <c r="B12" s="286"/>
      <c r="C12" s="286"/>
      <c r="D12" s="286"/>
      <c r="E12" s="286"/>
      <c r="F12" s="286"/>
      <c r="G12" s="286"/>
      <c r="H12" s="286"/>
      <c r="I12" s="286"/>
      <c r="J12" s="286"/>
      <c r="K12" s="286"/>
      <c r="L12" s="286"/>
      <c r="M12" s="286"/>
      <c r="N12" s="286"/>
      <c r="O12" s="288" t="s">
        <v>4</v>
      </c>
      <c r="P12" s="286"/>
      <c r="Q12" s="286"/>
      <c r="R12" s="286"/>
      <c r="S12" s="286"/>
      <c r="T12" s="286"/>
      <c r="U12" s="286"/>
      <c r="V12" s="1"/>
      <c r="W12" s="1"/>
      <c r="X12" s="1"/>
      <c r="Y12" s="1"/>
      <c r="Z12" s="1"/>
    </row>
    <row r="13" spans="1:26" ht="10.199999999999999" customHeight="1" x14ac:dyDescent="0.3">
      <c r="A13" s="286"/>
      <c r="B13" s="286"/>
      <c r="C13" s="286"/>
      <c r="D13" s="286"/>
      <c r="E13" s="286"/>
      <c r="F13" s="286"/>
      <c r="G13" s="286"/>
      <c r="H13" s="286"/>
      <c r="I13" s="286"/>
      <c r="J13" s="286"/>
      <c r="K13" s="286"/>
      <c r="L13" s="286"/>
      <c r="M13" s="286"/>
      <c r="N13" s="286"/>
      <c r="O13" s="286"/>
      <c r="P13" s="286"/>
      <c r="Q13" s="286"/>
      <c r="R13" s="286"/>
      <c r="S13" s="286"/>
      <c r="T13" s="286"/>
      <c r="U13" s="286"/>
      <c r="V13" s="1"/>
      <c r="W13" s="1"/>
      <c r="X13" s="1"/>
      <c r="Y13" s="1"/>
      <c r="Z13" s="1"/>
    </row>
    <row r="14" spans="1:26" ht="9" customHeight="1" x14ac:dyDescent="0.3">
      <c r="A14" s="286"/>
      <c r="B14" s="286"/>
      <c r="C14" s="286"/>
      <c r="D14" s="286"/>
      <c r="E14" s="286"/>
      <c r="F14" s="286"/>
      <c r="G14" s="286"/>
      <c r="H14" s="286"/>
      <c r="I14" s="286"/>
      <c r="J14" s="286"/>
      <c r="K14" s="286"/>
      <c r="L14" s="286"/>
      <c r="M14" s="286"/>
      <c r="N14" s="286"/>
      <c r="O14" s="286"/>
      <c r="P14" s="286"/>
      <c r="Q14" s="286"/>
      <c r="R14" s="286"/>
      <c r="S14" s="286"/>
      <c r="T14" s="286"/>
      <c r="U14" s="286"/>
      <c r="V14" s="1"/>
      <c r="W14" s="1"/>
      <c r="X14" s="1"/>
      <c r="Y14" s="1"/>
      <c r="Z14" s="1"/>
    </row>
    <row r="15" spans="1:26" ht="14.4" customHeight="1" x14ac:dyDescent="0.3">
      <c r="A15" s="286"/>
      <c r="B15" s="286"/>
      <c r="C15" s="286"/>
      <c r="D15" s="286"/>
      <c r="E15" s="286"/>
      <c r="F15" s="286"/>
      <c r="G15" s="286"/>
      <c r="H15" s="286"/>
      <c r="I15" s="286"/>
      <c r="J15" s="286"/>
      <c r="K15" s="286"/>
      <c r="L15" s="286"/>
      <c r="M15" s="286"/>
      <c r="N15" s="286"/>
      <c r="O15" s="286"/>
      <c r="P15" s="286"/>
      <c r="Q15" s="286"/>
      <c r="R15" s="286"/>
      <c r="S15" s="286"/>
      <c r="T15" s="286"/>
      <c r="U15" s="286"/>
      <c r="V15" s="1"/>
      <c r="W15" s="1"/>
      <c r="X15" s="1"/>
      <c r="Y15" s="1"/>
      <c r="Z15" s="1"/>
    </row>
    <row r="16" spans="1:26" ht="19.5" customHeight="1" x14ac:dyDescent="0.3">
      <c r="A16" s="286"/>
      <c r="B16" s="286"/>
      <c r="C16" s="286"/>
      <c r="D16" s="286"/>
      <c r="E16" s="286"/>
      <c r="F16" s="286"/>
      <c r="G16" s="286"/>
      <c r="H16" s="286"/>
      <c r="I16" s="286"/>
      <c r="J16" s="286"/>
      <c r="K16" s="286"/>
      <c r="L16" s="286"/>
      <c r="M16" s="286"/>
      <c r="N16" s="286"/>
      <c r="O16" s="286"/>
      <c r="P16" s="286"/>
      <c r="Q16" s="286"/>
      <c r="R16" s="286"/>
      <c r="S16" s="286"/>
      <c r="T16" s="286"/>
      <c r="U16" s="286"/>
      <c r="V16" s="1"/>
      <c r="W16" s="1"/>
      <c r="X16" s="1"/>
      <c r="Y16" s="1"/>
      <c r="Z16" s="1"/>
    </row>
    <row r="17" spans="1:26" ht="27" customHeight="1" x14ac:dyDescent="0.55000000000000004">
      <c r="A17" s="286"/>
      <c r="B17" s="286"/>
      <c r="C17" s="286"/>
      <c r="D17" s="286"/>
      <c r="E17" s="286"/>
      <c r="F17" s="286"/>
      <c r="G17" s="286"/>
      <c r="H17" s="286"/>
      <c r="I17" s="286"/>
      <c r="J17" s="286"/>
      <c r="K17" s="286"/>
      <c r="L17" s="286"/>
      <c r="M17" s="286"/>
      <c r="N17" s="286"/>
      <c r="O17" s="289" t="s">
        <v>5</v>
      </c>
      <c r="P17" s="286"/>
      <c r="Q17" s="286"/>
      <c r="R17" s="286"/>
      <c r="S17" s="286"/>
      <c r="T17" s="286"/>
      <c r="U17" s="286"/>
      <c r="V17" s="1"/>
      <c r="W17" s="1"/>
      <c r="X17" s="1"/>
      <c r="Y17" s="1"/>
      <c r="Z17" s="1"/>
    </row>
    <row r="18" spans="1:26" ht="10.8" customHeight="1" x14ac:dyDescent="0.3">
      <c r="A18" s="286"/>
      <c r="B18" s="286"/>
      <c r="C18" s="286"/>
      <c r="D18" s="286"/>
      <c r="E18" s="286"/>
      <c r="F18" s="286"/>
      <c r="G18" s="286"/>
      <c r="H18" s="286"/>
      <c r="I18" s="286"/>
      <c r="J18" s="286"/>
      <c r="K18" s="286"/>
      <c r="L18" s="286"/>
      <c r="M18" s="286"/>
      <c r="N18" s="286"/>
      <c r="O18" s="286"/>
      <c r="P18" s="286"/>
      <c r="Q18" s="286"/>
      <c r="R18" s="286"/>
      <c r="S18" s="286"/>
      <c r="T18" s="286"/>
      <c r="U18" s="286"/>
      <c r="V18" s="1"/>
      <c r="W18" s="1"/>
      <c r="X18" s="1"/>
      <c r="Y18" s="1"/>
      <c r="Z18" s="1"/>
    </row>
    <row r="19" spans="1:26" ht="24.6" customHeight="1" x14ac:dyDescent="0.4">
      <c r="A19" s="286"/>
      <c r="B19" s="286"/>
      <c r="C19" s="286"/>
      <c r="D19" s="286"/>
      <c r="E19" s="286"/>
      <c r="F19" s="286"/>
      <c r="G19" s="286"/>
      <c r="H19" s="286"/>
      <c r="I19" s="286"/>
      <c r="J19" s="286"/>
      <c r="K19" s="286"/>
      <c r="L19" s="286"/>
      <c r="M19" s="286"/>
      <c r="N19" s="286"/>
      <c r="O19" s="290" t="s">
        <v>6</v>
      </c>
      <c r="P19" s="286"/>
      <c r="Q19" s="286"/>
      <c r="R19" s="286"/>
      <c r="S19" s="286"/>
      <c r="T19" s="286"/>
      <c r="U19" s="286"/>
      <c r="V19" s="1"/>
      <c r="W19" s="1"/>
      <c r="X19" s="1"/>
      <c r="Y19" s="1"/>
      <c r="Z19" s="1"/>
    </row>
    <row r="20" spans="1:26" ht="21.6" customHeight="1" x14ac:dyDescent="0.4">
      <c r="A20" s="286"/>
      <c r="B20" s="286"/>
      <c r="C20" s="286"/>
      <c r="D20" s="286"/>
      <c r="E20" s="286"/>
      <c r="F20" s="286"/>
      <c r="G20" s="286"/>
      <c r="H20" s="286"/>
      <c r="I20" s="286"/>
      <c r="J20" s="286"/>
      <c r="K20" s="286"/>
      <c r="L20" s="286"/>
      <c r="M20" s="286"/>
      <c r="N20" s="286"/>
      <c r="O20" s="291" t="s">
        <v>7</v>
      </c>
      <c r="P20" s="286"/>
      <c r="Q20" s="286"/>
      <c r="R20" s="286"/>
      <c r="S20" s="286"/>
      <c r="T20" s="286"/>
      <c r="U20" s="286"/>
      <c r="V20" s="1"/>
      <c r="W20" s="1"/>
      <c r="X20" s="1"/>
      <c r="Y20" s="1"/>
      <c r="Z20" s="1"/>
    </row>
    <row r="21" spans="1:26" ht="14.25" customHeight="1" x14ac:dyDescent="0.3">
      <c r="A21" s="286"/>
      <c r="B21" s="286"/>
      <c r="C21" s="286"/>
      <c r="D21" s="286"/>
      <c r="E21" s="286"/>
      <c r="F21" s="286"/>
      <c r="G21" s="286"/>
      <c r="H21" s="286"/>
      <c r="I21" s="286"/>
      <c r="J21" s="286"/>
      <c r="K21" s="286"/>
      <c r="L21" s="286"/>
      <c r="M21" s="286"/>
      <c r="N21" s="286"/>
      <c r="O21" s="286"/>
      <c r="P21" s="286"/>
      <c r="Q21" s="286"/>
      <c r="R21" s="286"/>
      <c r="S21" s="286"/>
      <c r="T21" s="286"/>
      <c r="U21" s="286"/>
      <c r="V21" s="1"/>
      <c r="W21" s="1"/>
      <c r="X21" s="1"/>
      <c r="Y21" s="1"/>
      <c r="Z21" s="1"/>
    </row>
    <row r="22" spans="1:26" ht="14.25" customHeight="1" x14ac:dyDescent="0.3">
      <c r="A22" s="286"/>
      <c r="B22" s="286"/>
      <c r="C22" s="286"/>
      <c r="D22" s="286"/>
      <c r="E22" s="286"/>
      <c r="F22" s="286"/>
      <c r="G22" s="286"/>
      <c r="H22" s="286"/>
      <c r="I22" s="286"/>
      <c r="J22" s="286"/>
      <c r="K22" s="286"/>
      <c r="L22" s="286"/>
      <c r="M22" s="286"/>
      <c r="N22" s="286"/>
      <c r="O22" s="286"/>
      <c r="P22" s="286"/>
      <c r="Q22" s="286"/>
      <c r="R22" s="286"/>
      <c r="S22" s="286"/>
      <c r="T22" s="286"/>
      <c r="U22" s="286"/>
      <c r="V22" s="1"/>
      <c r="W22" s="1"/>
      <c r="X22" s="1"/>
      <c r="Y22" s="1"/>
      <c r="Z22" s="1"/>
    </row>
    <row r="23" spans="1:26" ht="14.25" customHeight="1" x14ac:dyDescent="0.3">
      <c r="A23" s="286"/>
      <c r="B23" s="286"/>
      <c r="C23" s="286"/>
      <c r="D23" s="286"/>
      <c r="E23" s="286"/>
      <c r="F23" s="286"/>
      <c r="G23" s="286"/>
      <c r="H23" s="286"/>
      <c r="I23" s="286"/>
      <c r="J23" s="286"/>
      <c r="K23" s="286"/>
      <c r="L23" s="286"/>
      <c r="M23" s="286"/>
      <c r="N23" s="286"/>
      <c r="O23" s="286"/>
      <c r="P23" s="286"/>
      <c r="Q23" s="286"/>
      <c r="R23" s="286"/>
      <c r="S23" s="286"/>
      <c r="T23" s="286"/>
      <c r="U23" s="286"/>
      <c r="V23" s="1"/>
      <c r="W23" s="1"/>
      <c r="X23" s="1"/>
      <c r="Y23" s="1"/>
      <c r="Z23" s="1"/>
    </row>
    <row r="24" spans="1:26" ht="14.25" customHeight="1" x14ac:dyDescent="0.3">
      <c r="A24" s="249"/>
      <c r="B24" s="249"/>
      <c r="C24" s="249"/>
      <c r="D24" s="249"/>
      <c r="E24" s="249"/>
      <c r="F24" s="249"/>
      <c r="G24" s="249"/>
      <c r="H24" s="249"/>
      <c r="I24" s="249"/>
      <c r="J24" s="249"/>
      <c r="K24" s="249"/>
      <c r="L24" s="249"/>
      <c r="M24" s="249"/>
      <c r="N24" s="249"/>
      <c r="O24" s="249"/>
      <c r="P24" s="249"/>
      <c r="Q24" s="249"/>
      <c r="R24" s="249"/>
      <c r="S24" s="249"/>
      <c r="T24" s="249"/>
      <c r="U24" s="249"/>
      <c r="V24" s="1"/>
      <c r="W24" s="1"/>
      <c r="X24" s="1"/>
      <c r="Y24" s="1"/>
      <c r="Z24" s="1"/>
    </row>
    <row r="25" spans="1:26" ht="14.25" customHeight="1" x14ac:dyDescent="0.3">
      <c r="A25" s="249"/>
      <c r="B25" s="249"/>
      <c r="C25" s="249"/>
      <c r="D25" s="249"/>
      <c r="E25" s="249"/>
      <c r="F25" s="249"/>
      <c r="G25" s="249"/>
      <c r="H25" s="249"/>
      <c r="I25" s="249"/>
      <c r="J25" s="249"/>
      <c r="K25" s="249"/>
      <c r="L25" s="249"/>
      <c r="M25" s="249"/>
      <c r="N25" s="249"/>
      <c r="O25" s="249"/>
      <c r="P25" s="249"/>
      <c r="Q25" s="249"/>
      <c r="R25" s="249"/>
      <c r="S25" s="249"/>
      <c r="T25" s="249"/>
      <c r="U25" s="249"/>
      <c r="V25" s="1"/>
      <c r="W25" s="1"/>
      <c r="X25" s="1"/>
      <c r="Y25" s="1"/>
      <c r="Z25" s="1"/>
    </row>
    <row r="26" spans="1:26" ht="14.25" customHeight="1" x14ac:dyDescent="0.3">
      <c r="A26" s="249"/>
      <c r="B26" s="249"/>
      <c r="C26" s="249"/>
      <c r="D26" s="249"/>
      <c r="E26" s="249"/>
      <c r="F26" s="249"/>
      <c r="G26" s="249"/>
      <c r="H26" s="249"/>
      <c r="I26" s="249"/>
      <c r="J26" s="249"/>
      <c r="K26" s="249"/>
      <c r="L26" s="249"/>
      <c r="M26" s="249"/>
      <c r="N26" s="249"/>
      <c r="O26" s="249"/>
      <c r="P26" s="249"/>
      <c r="Q26" s="249"/>
      <c r="R26" s="249"/>
      <c r="S26" s="249"/>
      <c r="T26" s="249"/>
      <c r="U26" s="249"/>
      <c r="V26" s="1"/>
      <c r="W26" s="1"/>
      <c r="X26" s="1"/>
      <c r="Y26" s="1"/>
      <c r="Z26" s="1"/>
    </row>
    <row r="27" spans="1:26" ht="14.25" customHeight="1" x14ac:dyDescent="0.3">
      <c r="A27" s="249"/>
      <c r="B27" s="249"/>
      <c r="C27" s="249"/>
      <c r="D27" s="249"/>
      <c r="E27" s="249"/>
      <c r="F27" s="249"/>
      <c r="G27" s="249"/>
      <c r="H27" s="249"/>
      <c r="I27" s="249"/>
      <c r="J27" s="249"/>
      <c r="K27" s="249"/>
      <c r="L27" s="249"/>
      <c r="M27" s="249"/>
      <c r="N27" s="249"/>
      <c r="O27" s="249"/>
      <c r="P27" s="249"/>
      <c r="Q27" s="249"/>
      <c r="R27" s="249"/>
      <c r="S27" s="249"/>
      <c r="T27" s="249"/>
      <c r="U27" s="249"/>
      <c r="V27" s="1"/>
      <c r="W27" s="1"/>
      <c r="X27" s="1"/>
      <c r="Y27" s="1"/>
      <c r="Z27" s="1"/>
    </row>
    <row r="28" spans="1:26" ht="14.25" customHeight="1" x14ac:dyDescent="0.3">
      <c r="A28" s="249"/>
      <c r="B28" s="249"/>
      <c r="C28" s="249"/>
      <c r="D28" s="249"/>
      <c r="E28" s="249"/>
      <c r="F28" s="249"/>
      <c r="G28" s="249"/>
      <c r="H28" s="249"/>
      <c r="I28" s="249"/>
      <c r="J28" s="249"/>
      <c r="K28" s="249"/>
      <c r="L28" s="249"/>
      <c r="M28" s="249"/>
      <c r="N28" s="249"/>
      <c r="O28" s="249"/>
      <c r="P28" s="249"/>
      <c r="Q28" s="249"/>
      <c r="R28" s="249"/>
      <c r="S28" s="249"/>
      <c r="T28" s="249"/>
      <c r="U28" s="249"/>
      <c r="V28" s="1"/>
      <c r="W28" s="1"/>
      <c r="X28" s="1"/>
      <c r="Y28" s="1"/>
      <c r="Z28" s="1"/>
    </row>
    <row r="29" spans="1:26" ht="14.25" customHeight="1" x14ac:dyDescent="0.3">
      <c r="A29" s="249"/>
      <c r="B29" s="249"/>
      <c r="C29" s="249"/>
      <c r="D29" s="249"/>
      <c r="E29" s="249"/>
      <c r="F29" s="249"/>
      <c r="G29" s="249"/>
      <c r="H29" s="249"/>
      <c r="I29" s="249"/>
      <c r="J29" s="249"/>
      <c r="K29" s="249"/>
      <c r="L29" s="249"/>
      <c r="M29" s="249"/>
      <c r="N29" s="249"/>
      <c r="O29" s="249"/>
      <c r="P29" s="249"/>
      <c r="Q29" s="249"/>
      <c r="R29" s="249"/>
      <c r="S29" s="249"/>
      <c r="T29" s="249"/>
      <c r="U29" s="249"/>
      <c r="V29" s="1"/>
      <c r="W29" s="1"/>
      <c r="X29" s="1"/>
      <c r="Y29" s="1"/>
      <c r="Z29" s="1"/>
    </row>
    <row r="30" spans="1:26" ht="14.25" customHeight="1" x14ac:dyDescent="0.3">
      <c r="A30" s="249"/>
      <c r="B30" s="249"/>
      <c r="C30" s="249"/>
      <c r="D30" s="249"/>
      <c r="E30" s="249"/>
      <c r="F30" s="249"/>
      <c r="G30" s="249"/>
      <c r="H30" s="249"/>
      <c r="I30" s="249"/>
      <c r="J30" s="249"/>
      <c r="K30" s="249"/>
      <c r="L30" s="249"/>
      <c r="M30" s="249"/>
      <c r="N30" s="249"/>
      <c r="O30" s="249"/>
      <c r="P30" s="249"/>
      <c r="Q30" s="249"/>
      <c r="R30" s="249"/>
      <c r="S30" s="249"/>
      <c r="T30" s="249"/>
      <c r="U30" s="249"/>
      <c r="V30" s="1"/>
      <c r="W30" s="1"/>
      <c r="X30" s="1"/>
      <c r="Y30" s="1"/>
      <c r="Z30" s="1"/>
    </row>
    <row r="31" spans="1:26" ht="14.25" customHeight="1" x14ac:dyDescent="0.3">
      <c r="A31" s="249"/>
      <c r="B31" s="249"/>
      <c r="C31" s="249"/>
      <c r="D31" s="249"/>
      <c r="E31" s="249"/>
      <c r="F31" s="249"/>
      <c r="G31" s="249"/>
      <c r="H31" s="249"/>
      <c r="I31" s="249"/>
      <c r="J31" s="249"/>
      <c r="K31" s="249"/>
      <c r="L31" s="249"/>
      <c r="M31" s="249"/>
      <c r="N31" s="249"/>
      <c r="O31" s="249"/>
      <c r="P31" s="249"/>
      <c r="Q31" s="249"/>
      <c r="R31" s="249"/>
      <c r="S31" s="249"/>
      <c r="T31" s="249"/>
      <c r="U31" s="249"/>
      <c r="V31" s="1"/>
      <c r="W31" s="1"/>
      <c r="X31" s="1"/>
      <c r="Y31" s="1"/>
      <c r="Z31" s="1"/>
    </row>
    <row r="32" spans="1:26" ht="14.25" customHeight="1" x14ac:dyDescent="0.3">
      <c r="A32" s="249"/>
      <c r="B32" s="249"/>
      <c r="C32" s="249"/>
      <c r="D32" s="249"/>
      <c r="E32" s="249"/>
      <c r="F32" s="249"/>
      <c r="G32" s="249"/>
      <c r="H32" s="249"/>
      <c r="I32" s="249"/>
      <c r="J32" s="249"/>
      <c r="K32" s="249"/>
      <c r="L32" s="249"/>
      <c r="M32" s="249"/>
      <c r="N32" s="249"/>
      <c r="O32" s="249"/>
      <c r="P32" s="249"/>
      <c r="Q32" s="249"/>
      <c r="R32" s="249"/>
      <c r="S32" s="249"/>
      <c r="T32" s="249"/>
      <c r="U32" s="249"/>
      <c r="V32" s="1"/>
      <c r="W32" s="1"/>
      <c r="X32" s="1"/>
      <c r="Y32" s="1"/>
      <c r="Z32" s="1"/>
    </row>
    <row r="33" spans="1:26" ht="14.25" customHeight="1" x14ac:dyDescent="0.3">
      <c r="A33" s="249"/>
      <c r="B33" s="249"/>
      <c r="C33" s="249"/>
      <c r="D33" s="249"/>
      <c r="E33" s="249"/>
      <c r="F33" s="249"/>
      <c r="G33" s="249"/>
      <c r="H33" s="249"/>
      <c r="I33" s="249"/>
      <c r="J33" s="249"/>
      <c r="K33" s="249"/>
      <c r="L33" s="249"/>
      <c r="M33" s="249"/>
      <c r="N33" s="249"/>
      <c r="O33" s="249"/>
      <c r="P33" s="249"/>
      <c r="Q33" s="249"/>
      <c r="R33" s="249"/>
      <c r="S33" s="249"/>
      <c r="T33" s="249"/>
      <c r="U33" s="249"/>
      <c r="V33" s="1"/>
      <c r="W33" s="1"/>
      <c r="X33" s="1"/>
      <c r="Y33" s="1"/>
      <c r="Z33" s="1"/>
    </row>
    <row r="34" spans="1:26" ht="14.25" customHeight="1" x14ac:dyDescent="0.3">
      <c r="A34" s="249"/>
      <c r="B34" s="249"/>
      <c r="C34" s="249"/>
      <c r="D34" s="249"/>
      <c r="E34" s="249"/>
      <c r="F34" s="249"/>
      <c r="G34" s="249"/>
      <c r="H34" s="249"/>
      <c r="I34" s="249"/>
      <c r="J34" s="249"/>
      <c r="K34" s="249"/>
      <c r="L34" s="249"/>
      <c r="M34" s="249"/>
      <c r="N34" s="249"/>
      <c r="O34" s="249"/>
      <c r="P34" s="249"/>
      <c r="Q34" s="249"/>
      <c r="R34" s="249"/>
      <c r="S34" s="249"/>
      <c r="T34" s="249"/>
      <c r="U34" s="249"/>
      <c r="V34" s="1"/>
      <c r="W34" s="1"/>
      <c r="X34" s="1"/>
      <c r="Y34" s="1"/>
      <c r="Z34" s="1"/>
    </row>
    <row r="35" spans="1:26" ht="14.25" customHeight="1" x14ac:dyDescent="0.3">
      <c r="A35" s="249"/>
      <c r="B35" s="249"/>
      <c r="C35" s="249"/>
      <c r="D35" s="249"/>
      <c r="E35" s="249"/>
      <c r="F35" s="249"/>
      <c r="G35" s="249"/>
      <c r="H35" s="249"/>
      <c r="I35" s="249"/>
      <c r="J35" s="249"/>
      <c r="K35" s="249"/>
      <c r="L35" s="249"/>
      <c r="M35" s="249"/>
      <c r="N35" s="249"/>
      <c r="O35" s="249"/>
      <c r="P35" s="249"/>
      <c r="Q35" s="249"/>
      <c r="R35" s="249"/>
      <c r="S35" s="249"/>
      <c r="T35" s="249"/>
      <c r="U35" s="249"/>
      <c r="V35" s="1"/>
      <c r="W35" s="1"/>
      <c r="X35" s="1"/>
      <c r="Y35" s="1"/>
      <c r="Z35" s="1"/>
    </row>
    <row r="36" spans="1:26" ht="14.25" customHeight="1" x14ac:dyDescent="0.3">
      <c r="A36" s="249"/>
      <c r="B36" s="249"/>
      <c r="C36" s="249"/>
      <c r="D36" s="249"/>
      <c r="E36" s="249"/>
      <c r="F36" s="249"/>
      <c r="G36" s="249"/>
      <c r="H36" s="249"/>
      <c r="I36" s="249"/>
      <c r="J36" s="249"/>
      <c r="K36" s="249"/>
      <c r="L36" s="249"/>
      <c r="M36" s="249"/>
      <c r="N36" s="249"/>
      <c r="O36" s="249"/>
      <c r="P36" s="249"/>
      <c r="Q36" s="249"/>
      <c r="R36" s="249"/>
      <c r="S36" s="249"/>
      <c r="T36" s="249"/>
      <c r="U36" s="249"/>
      <c r="V36" s="1"/>
      <c r="W36" s="1"/>
      <c r="X36" s="1"/>
      <c r="Y36" s="1"/>
      <c r="Z36" s="1"/>
    </row>
    <row r="37" spans="1:26" ht="14.25" customHeight="1" x14ac:dyDescent="0.3">
      <c r="A37" s="249"/>
      <c r="B37" s="249"/>
      <c r="C37" s="249"/>
      <c r="D37" s="249"/>
      <c r="E37" s="249"/>
      <c r="F37" s="249"/>
      <c r="G37" s="249"/>
      <c r="H37" s="249"/>
      <c r="I37" s="249"/>
      <c r="J37" s="249"/>
      <c r="K37" s="249"/>
      <c r="L37" s="249"/>
      <c r="M37" s="249"/>
      <c r="N37" s="249"/>
      <c r="O37" s="249"/>
      <c r="P37" s="249"/>
      <c r="Q37" s="249"/>
      <c r="R37" s="249"/>
      <c r="S37" s="249"/>
      <c r="T37" s="249"/>
      <c r="U37" s="249"/>
      <c r="V37" s="1"/>
      <c r="W37" s="1"/>
      <c r="X37" s="1"/>
      <c r="Y37" s="1"/>
      <c r="Z37" s="1"/>
    </row>
    <row r="38" spans="1:26" ht="14.25" customHeight="1" x14ac:dyDescent="0.3">
      <c r="A38" s="249"/>
      <c r="B38" s="249"/>
      <c r="C38" s="249"/>
      <c r="D38" s="249"/>
      <c r="E38" s="249"/>
      <c r="F38" s="249"/>
      <c r="G38" s="249"/>
      <c r="H38" s="249"/>
      <c r="I38" s="249"/>
      <c r="J38" s="249"/>
      <c r="K38" s="249"/>
      <c r="L38" s="249"/>
      <c r="M38" s="249"/>
      <c r="N38" s="249"/>
      <c r="O38" s="249"/>
      <c r="P38" s="249"/>
      <c r="Q38" s="249"/>
      <c r="R38" s="249"/>
      <c r="S38" s="249"/>
      <c r="T38" s="249"/>
      <c r="U38" s="249"/>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2" x14ac:dyDescent="0.25"/>
    <row r="222" spans="1:26" ht="13.2" x14ac:dyDescent="0.25"/>
    <row r="223" spans="1:26" ht="13.2" x14ac:dyDescent="0.25"/>
    <row r="224" spans="1:26"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row r="995" ht="13.2" x14ac:dyDescent="0.25"/>
    <row r="996" ht="13.2" x14ac:dyDescent="0.25"/>
    <row r="997" ht="13.2" x14ac:dyDescent="0.25"/>
    <row r="998" ht="13.2" x14ac:dyDescent="0.25"/>
    <row r="999" ht="13.2" x14ac:dyDescent="0.25"/>
    <row r="1000" ht="13.2" x14ac:dyDescent="0.25"/>
  </sheetData>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A5DB0"/>
  </sheetPr>
  <dimension ref="A1:Z43"/>
  <sheetViews>
    <sheetView workbookViewId="0">
      <pane ySplit="1" topLeftCell="A2" activePane="bottomLeft" state="frozen"/>
      <selection pane="bottomLeft"/>
    </sheetView>
  </sheetViews>
  <sheetFormatPr defaultColWidth="14.44140625" defaultRowHeight="15.75" customHeight="1" x14ac:dyDescent="0.25"/>
  <cols>
    <col min="1" max="1" width="26.5546875" customWidth="1"/>
    <col min="2" max="2" width="18.6640625" customWidth="1"/>
    <col min="3" max="3" width="18.88671875" customWidth="1"/>
    <col min="4" max="6" width="11.33203125" customWidth="1"/>
    <col min="7" max="7" width="13.33203125" customWidth="1"/>
    <col min="8" max="8" width="11.33203125" customWidth="1"/>
    <col min="9" max="9" width="11.88671875" customWidth="1"/>
    <col min="10" max="10" width="11.109375" customWidth="1"/>
    <col min="11" max="11" width="11.33203125" customWidth="1"/>
    <col min="12" max="13" width="11.88671875" customWidth="1"/>
    <col min="14" max="14" width="11.33203125" customWidth="1"/>
    <col min="15" max="15" width="10.88671875" customWidth="1"/>
    <col min="16" max="26" width="9.109375" customWidth="1"/>
  </cols>
  <sheetData>
    <row r="1" spans="1:26" ht="34.5" customHeight="1" x14ac:dyDescent="0.25">
      <c r="A1" s="46" t="s">
        <v>1703</v>
      </c>
      <c r="B1" s="47" t="s">
        <v>10</v>
      </c>
      <c r="C1" s="47" t="s">
        <v>11</v>
      </c>
      <c r="D1" s="48" t="s">
        <v>1654</v>
      </c>
      <c r="E1" s="48" t="s">
        <v>1678</v>
      </c>
      <c r="F1" s="48" t="s">
        <v>1704</v>
      </c>
      <c r="G1" s="9" t="s">
        <v>1705</v>
      </c>
      <c r="H1" s="9" t="s">
        <v>1687</v>
      </c>
      <c r="I1" s="48" t="s">
        <v>1654</v>
      </c>
      <c r="J1" s="48" t="s">
        <v>1678</v>
      </c>
      <c r="K1" s="48" t="s">
        <v>1704</v>
      </c>
      <c r="L1" s="9" t="s">
        <v>1705</v>
      </c>
      <c r="M1" s="9" t="s">
        <v>1688</v>
      </c>
      <c r="N1" s="47" t="s">
        <v>1682</v>
      </c>
      <c r="O1" s="48" t="s">
        <v>1683</v>
      </c>
      <c r="P1" s="69"/>
      <c r="Q1" s="69"/>
      <c r="R1" s="69"/>
      <c r="S1" s="69"/>
      <c r="T1" s="69"/>
      <c r="U1" s="69"/>
      <c r="V1" s="69"/>
      <c r="W1" s="69"/>
      <c r="X1" s="69"/>
      <c r="Y1" s="69"/>
      <c r="Z1" s="69"/>
    </row>
    <row r="2" spans="1:26" ht="28.5" customHeight="1" x14ac:dyDescent="0.3">
      <c r="A2" s="11" t="s">
        <v>1706</v>
      </c>
      <c r="B2" s="11" t="s">
        <v>1707</v>
      </c>
      <c r="C2" s="11" t="s">
        <v>49</v>
      </c>
      <c r="D2" s="51">
        <v>1208</v>
      </c>
      <c r="E2" s="51">
        <v>1566</v>
      </c>
      <c r="F2" s="51">
        <v>748</v>
      </c>
      <c r="G2" s="51">
        <v>806</v>
      </c>
      <c r="H2" s="51">
        <v>4328</v>
      </c>
      <c r="I2" s="51">
        <v>762</v>
      </c>
      <c r="J2" s="51">
        <v>1268</v>
      </c>
      <c r="K2" s="51">
        <v>474</v>
      </c>
      <c r="L2" s="51">
        <v>685</v>
      </c>
      <c r="M2" s="51">
        <v>3189</v>
      </c>
      <c r="N2" s="50">
        <f t="shared" ref="N2:N43" si="0">H2-M2</f>
        <v>1139</v>
      </c>
      <c r="O2" s="51">
        <f t="shared" ref="O2:O5" si="1">(N2/M2)*100</f>
        <v>35.716525556600814</v>
      </c>
      <c r="P2" s="70"/>
      <c r="Q2" s="70"/>
      <c r="R2" s="70"/>
      <c r="S2" s="70"/>
      <c r="T2" s="70"/>
      <c r="U2" s="70"/>
      <c r="V2" s="70"/>
      <c r="W2" s="70"/>
      <c r="X2" s="70"/>
      <c r="Y2" s="70"/>
      <c r="Z2" s="70"/>
    </row>
    <row r="3" spans="1:26" ht="28.5" customHeight="1" x14ac:dyDescent="0.3">
      <c r="A3" s="11" t="s">
        <v>180</v>
      </c>
      <c r="B3" s="11" t="s">
        <v>181</v>
      </c>
      <c r="C3" s="11" t="s">
        <v>49</v>
      </c>
      <c r="D3" s="51">
        <v>158</v>
      </c>
      <c r="E3" s="51">
        <v>1185</v>
      </c>
      <c r="F3" s="51">
        <v>370</v>
      </c>
      <c r="G3" s="51">
        <v>329</v>
      </c>
      <c r="H3" s="51">
        <v>2042</v>
      </c>
      <c r="I3" s="51">
        <v>30</v>
      </c>
      <c r="J3" s="51">
        <v>1041</v>
      </c>
      <c r="K3" s="51">
        <v>179</v>
      </c>
      <c r="L3" s="51">
        <v>219</v>
      </c>
      <c r="M3" s="51">
        <v>1469</v>
      </c>
      <c r="N3" s="50">
        <f t="shared" si="0"/>
        <v>573</v>
      </c>
      <c r="O3" s="51">
        <f t="shared" si="1"/>
        <v>39.006126616746087</v>
      </c>
      <c r="P3" s="70"/>
      <c r="Q3" s="70"/>
      <c r="R3" s="70"/>
      <c r="S3" s="70"/>
      <c r="T3" s="70"/>
      <c r="U3" s="70"/>
      <c r="V3" s="70"/>
      <c r="W3" s="70"/>
      <c r="X3" s="70"/>
      <c r="Y3" s="70"/>
      <c r="Z3" s="70"/>
    </row>
    <row r="4" spans="1:26" ht="28.5" customHeight="1" x14ac:dyDescent="0.3">
      <c r="A4" s="11" t="s">
        <v>182</v>
      </c>
      <c r="B4" s="11" t="s">
        <v>183</v>
      </c>
      <c r="C4" s="11" t="s">
        <v>49</v>
      </c>
      <c r="D4" s="51">
        <v>264</v>
      </c>
      <c r="E4" s="51">
        <v>876</v>
      </c>
      <c r="F4" s="51">
        <v>435</v>
      </c>
      <c r="G4" s="51">
        <v>201</v>
      </c>
      <c r="H4" s="51">
        <v>1776</v>
      </c>
      <c r="I4" s="51">
        <v>133</v>
      </c>
      <c r="J4" s="51">
        <v>626</v>
      </c>
      <c r="K4" s="51">
        <v>287</v>
      </c>
      <c r="L4" s="51">
        <v>152</v>
      </c>
      <c r="M4" s="51">
        <v>1198</v>
      </c>
      <c r="N4" s="50">
        <f t="shared" si="0"/>
        <v>578</v>
      </c>
      <c r="O4" s="51">
        <f t="shared" si="1"/>
        <v>48.247078464106849</v>
      </c>
      <c r="P4" s="70"/>
      <c r="Q4" s="70"/>
      <c r="R4" s="70"/>
      <c r="S4" s="70"/>
      <c r="T4" s="70"/>
      <c r="U4" s="70"/>
      <c r="V4" s="70"/>
      <c r="W4" s="70"/>
      <c r="X4" s="70"/>
      <c r="Y4" s="70"/>
      <c r="Z4" s="70"/>
    </row>
    <row r="5" spans="1:26" ht="28.5" customHeight="1" x14ac:dyDescent="0.3">
      <c r="A5" s="11" t="s">
        <v>184</v>
      </c>
      <c r="B5" s="11" t="s">
        <v>185</v>
      </c>
      <c r="C5" s="11" t="s">
        <v>49</v>
      </c>
      <c r="D5" s="51">
        <v>6</v>
      </c>
      <c r="E5" s="51">
        <v>511</v>
      </c>
      <c r="F5" s="51">
        <v>2</v>
      </c>
      <c r="G5" s="51">
        <v>3</v>
      </c>
      <c r="H5" s="51">
        <v>522</v>
      </c>
      <c r="I5" s="51">
        <v>2</v>
      </c>
      <c r="J5" s="51">
        <v>162</v>
      </c>
      <c r="K5" s="51">
        <v>0</v>
      </c>
      <c r="L5" s="51">
        <v>0</v>
      </c>
      <c r="M5" s="51">
        <v>164</v>
      </c>
      <c r="N5" s="50">
        <f t="shared" si="0"/>
        <v>358</v>
      </c>
      <c r="O5" s="51">
        <f t="shared" si="1"/>
        <v>218.29268292682929</v>
      </c>
      <c r="P5" s="70"/>
      <c r="Q5" s="70"/>
      <c r="R5" s="70"/>
      <c r="S5" s="70"/>
      <c r="T5" s="70"/>
      <c r="U5" s="70"/>
      <c r="V5" s="70"/>
      <c r="W5" s="70"/>
      <c r="X5" s="70"/>
      <c r="Y5" s="70"/>
      <c r="Z5" s="70"/>
    </row>
    <row r="6" spans="1:26" ht="28.5" customHeight="1" x14ac:dyDescent="0.3">
      <c r="A6" s="11" t="s">
        <v>186</v>
      </c>
      <c r="B6" s="71" t="s">
        <v>187</v>
      </c>
      <c r="C6" s="11" t="s">
        <v>49</v>
      </c>
      <c r="D6" s="51">
        <v>0</v>
      </c>
      <c r="E6" s="51">
        <v>38</v>
      </c>
      <c r="F6" s="51">
        <v>0</v>
      </c>
      <c r="G6" s="51">
        <v>0</v>
      </c>
      <c r="H6" s="51">
        <v>38</v>
      </c>
      <c r="I6" s="51">
        <v>0</v>
      </c>
      <c r="J6" s="51">
        <v>0</v>
      </c>
      <c r="K6" s="51">
        <v>0</v>
      </c>
      <c r="L6" s="51">
        <v>0</v>
      </c>
      <c r="M6" s="51">
        <v>0</v>
      </c>
      <c r="N6" s="50">
        <f t="shared" si="0"/>
        <v>38</v>
      </c>
      <c r="O6" s="51">
        <v>100</v>
      </c>
      <c r="P6" s="70"/>
      <c r="Q6" s="70"/>
      <c r="R6" s="70"/>
      <c r="S6" s="70"/>
      <c r="T6" s="70"/>
      <c r="U6" s="70"/>
      <c r="V6" s="70"/>
      <c r="W6" s="70"/>
      <c r="X6" s="70"/>
      <c r="Y6" s="70"/>
      <c r="Z6" s="70"/>
    </row>
    <row r="7" spans="1:26" ht="28.5" customHeight="1" x14ac:dyDescent="0.3">
      <c r="A7" s="11" t="s">
        <v>188</v>
      </c>
      <c r="B7" s="11" t="s">
        <v>189</v>
      </c>
      <c r="C7" s="11" t="s">
        <v>49</v>
      </c>
      <c r="D7" s="51">
        <v>561</v>
      </c>
      <c r="E7" s="51">
        <v>5</v>
      </c>
      <c r="F7" s="51">
        <v>140</v>
      </c>
      <c r="G7" s="51">
        <v>182</v>
      </c>
      <c r="H7" s="51">
        <v>888</v>
      </c>
      <c r="I7" s="51">
        <v>492</v>
      </c>
      <c r="J7" s="51">
        <v>7</v>
      </c>
      <c r="K7" s="51">
        <v>135</v>
      </c>
      <c r="L7" s="51">
        <v>179</v>
      </c>
      <c r="M7" s="51">
        <v>813</v>
      </c>
      <c r="N7" s="50">
        <f t="shared" si="0"/>
        <v>75</v>
      </c>
      <c r="O7" s="51">
        <f t="shared" ref="O7:O43" si="2">(N7/M7)*100</f>
        <v>9.2250922509225095</v>
      </c>
      <c r="P7" s="70"/>
      <c r="Q7" s="70"/>
      <c r="R7" s="70"/>
      <c r="S7" s="70"/>
      <c r="T7" s="70"/>
      <c r="U7" s="70"/>
      <c r="V7" s="70"/>
      <c r="W7" s="70"/>
      <c r="X7" s="70"/>
      <c r="Y7" s="70"/>
      <c r="Z7" s="70"/>
    </row>
    <row r="8" spans="1:26" ht="28.5" customHeight="1" x14ac:dyDescent="0.3">
      <c r="A8" s="11" t="s">
        <v>190</v>
      </c>
      <c r="B8" s="11" t="s">
        <v>191</v>
      </c>
      <c r="C8" s="11" t="s">
        <v>49</v>
      </c>
      <c r="D8" s="51">
        <v>180</v>
      </c>
      <c r="E8" s="51">
        <v>55</v>
      </c>
      <c r="F8" s="51">
        <v>221</v>
      </c>
      <c r="G8" s="51">
        <v>124</v>
      </c>
      <c r="H8" s="51">
        <v>580</v>
      </c>
      <c r="I8" s="51">
        <v>198</v>
      </c>
      <c r="J8" s="51">
        <v>328</v>
      </c>
      <c r="K8" s="51">
        <v>229</v>
      </c>
      <c r="L8" s="51">
        <v>137</v>
      </c>
      <c r="M8" s="51">
        <v>892</v>
      </c>
      <c r="N8" s="50">
        <f t="shared" si="0"/>
        <v>-312</v>
      </c>
      <c r="O8" s="51">
        <f t="shared" si="2"/>
        <v>-34.977578475336323</v>
      </c>
      <c r="P8" s="70"/>
      <c r="Q8" s="70"/>
      <c r="R8" s="70"/>
      <c r="S8" s="70"/>
      <c r="T8" s="70"/>
      <c r="U8" s="70"/>
      <c r="V8" s="70"/>
      <c r="W8" s="70"/>
      <c r="X8" s="70"/>
      <c r="Y8" s="70"/>
      <c r="Z8" s="70"/>
    </row>
    <row r="9" spans="1:26" ht="28.5" customHeight="1" x14ac:dyDescent="0.3">
      <c r="A9" s="11" t="s">
        <v>192</v>
      </c>
      <c r="B9" s="11" t="s">
        <v>193</v>
      </c>
      <c r="C9" s="11" t="s">
        <v>49</v>
      </c>
      <c r="D9" s="51">
        <v>221</v>
      </c>
      <c r="E9" s="51">
        <v>14</v>
      </c>
      <c r="F9" s="51">
        <v>12</v>
      </c>
      <c r="G9" s="51">
        <v>21</v>
      </c>
      <c r="H9" s="51">
        <v>268</v>
      </c>
      <c r="I9" s="51">
        <v>286</v>
      </c>
      <c r="J9" s="51">
        <v>17</v>
      </c>
      <c r="K9" s="51">
        <v>70</v>
      </c>
      <c r="L9" s="51">
        <v>50</v>
      </c>
      <c r="M9" s="51">
        <v>423</v>
      </c>
      <c r="N9" s="50">
        <f t="shared" si="0"/>
        <v>-155</v>
      </c>
      <c r="O9" s="51">
        <f t="shared" si="2"/>
        <v>-36.643026004728128</v>
      </c>
      <c r="P9" s="70"/>
      <c r="Q9" s="70"/>
      <c r="R9" s="70"/>
      <c r="S9" s="70"/>
      <c r="T9" s="70"/>
      <c r="U9" s="70"/>
      <c r="V9" s="70"/>
      <c r="W9" s="70"/>
      <c r="X9" s="70"/>
      <c r="Y9" s="70"/>
      <c r="Z9" s="70"/>
    </row>
    <row r="10" spans="1:26" ht="28.5" customHeight="1" x14ac:dyDescent="0.3">
      <c r="A10" s="11" t="s">
        <v>194</v>
      </c>
      <c r="B10" s="11" t="s">
        <v>195</v>
      </c>
      <c r="C10" s="11" t="s">
        <v>49</v>
      </c>
      <c r="D10" s="51">
        <v>147</v>
      </c>
      <c r="E10" s="51">
        <v>0</v>
      </c>
      <c r="F10" s="51">
        <v>3</v>
      </c>
      <c r="G10" s="51">
        <v>35</v>
      </c>
      <c r="H10" s="51">
        <v>185</v>
      </c>
      <c r="I10" s="51">
        <v>152</v>
      </c>
      <c r="J10" s="51">
        <v>0</v>
      </c>
      <c r="K10" s="51">
        <v>28</v>
      </c>
      <c r="L10" s="51">
        <v>45</v>
      </c>
      <c r="M10" s="51">
        <v>225</v>
      </c>
      <c r="N10" s="50">
        <f t="shared" si="0"/>
        <v>-40</v>
      </c>
      <c r="O10" s="51">
        <f t="shared" si="2"/>
        <v>-17.777777777777779</v>
      </c>
      <c r="P10" s="70"/>
      <c r="Q10" s="70"/>
      <c r="R10" s="70"/>
      <c r="S10" s="70"/>
      <c r="T10" s="70"/>
      <c r="U10" s="70"/>
      <c r="V10" s="70"/>
      <c r="W10" s="70"/>
      <c r="X10" s="70"/>
      <c r="Y10" s="70"/>
      <c r="Z10" s="70"/>
    </row>
    <row r="11" spans="1:26" ht="28.5" customHeight="1" x14ac:dyDescent="0.3">
      <c r="A11" s="11" t="s">
        <v>196</v>
      </c>
      <c r="B11" s="11" t="s">
        <v>197</v>
      </c>
      <c r="C11" s="11" t="s">
        <v>49</v>
      </c>
      <c r="D11" s="51">
        <v>133</v>
      </c>
      <c r="E11" s="51">
        <v>0</v>
      </c>
      <c r="F11" s="51">
        <v>3</v>
      </c>
      <c r="G11" s="51">
        <v>36</v>
      </c>
      <c r="H11" s="51">
        <v>172</v>
      </c>
      <c r="I11" s="51">
        <v>127</v>
      </c>
      <c r="J11" s="51">
        <v>0</v>
      </c>
      <c r="K11" s="51">
        <v>16</v>
      </c>
      <c r="L11" s="51">
        <v>57</v>
      </c>
      <c r="M11" s="51">
        <v>200</v>
      </c>
      <c r="N11" s="50">
        <f t="shared" si="0"/>
        <v>-28</v>
      </c>
      <c r="O11" s="51">
        <f t="shared" si="2"/>
        <v>-14.000000000000002</v>
      </c>
      <c r="P11" s="70"/>
      <c r="Q11" s="70"/>
      <c r="R11" s="70"/>
      <c r="S11" s="70"/>
      <c r="T11" s="70"/>
      <c r="U11" s="70"/>
      <c r="V11" s="70"/>
      <c r="W11" s="70"/>
      <c r="X11" s="70"/>
      <c r="Y11" s="70"/>
      <c r="Z11" s="70"/>
    </row>
    <row r="12" spans="1:26" ht="28.5" customHeight="1" x14ac:dyDescent="0.3">
      <c r="A12" s="11" t="s">
        <v>23</v>
      </c>
      <c r="B12" s="11"/>
      <c r="C12" s="11"/>
      <c r="D12" s="51">
        <v>28</v>
      </c>
      <c r="E12" s="51">
        <v>0</v>
      </c>
      <c r="F12" s="51">
        <v>4</v>
      </c>
      <c r="G12" s="51">
        <v>19</v>
      </c>
      <c r="H12" s="51">
        <v>51</v>
      </c>
      <c r="I12" s="51">
        <v>29</v>
      </c>
      <c r="J12" s="51">
        <v>0</v>
      </c>
      <c r="K12" s="51">
        <v>5</v>
      </c>
      <c r="L12" s="51">
        <v>60</v>
      </c>
      <c r="M12" s="51">
        <v>94</v>
      </c>
      <c r="N12" s="50">
        <f t="shared" si="0"/>
        <v>-43</v>
      </c>
      <c r="O12" s="51">
        <f t="shared" si="2"/>
        <v>-45.744680851063826</v>
      </c>
      <c r="P12" s="70"/>
      <c r="Q12" s="70"/>
      <c r="R12" s="70"/>
      <c r="S12" s="70"/>
      <c r="T12" s="70"/>
      <c r="U12" s="70"/>
      <c r="V12" s="70"/>
      <c r="W12" s="70"/>
      <c r="X12" s="70"/>
      <c r="Y12" s="70"/>
      <c r="Z12" s="70"/>
    </row>
    <row r="13" spans="1:26" ht="28.5" customHeight="1" x14ac:dyDescent="0.3">
      <c r="A13" s="72" t="s">
        <v>198</v>
      </c>
      <c r="B13" s="72"/>
      <c r="C13" s="73" t="s">
        <v>49</v>
      </c>
      <c r="D13" s="74">
        <v>2906</v>
      </c>
      <c r="E13" s="74">
        <v>4250</v>
      </c>
      <c r="F13" s="74">
        <v>1938</v>
      </c>
      <c r="G13" s="74">
        <v>1756</v>
      </c>
      <c r="H13" s="74">
        <v>10850</v>
      </c>
      <c r="I13" s="74">
        <v>2211</v>
      </c>
      <c r="J13" s="74">
        <v>3449</v>
      </c>
      <c r="K13" s="74">
        <v>1423</v>
      </c>
      <c r="L13" s="74">
        <v>1584</v>
      </c>
      <c r="M13" s="74">
        <v>8667</v>
      </c>
      <c r="N13" s="75">
        <f t="shared" si="0"/>
        <v>2183</v>
      </c>
      <c r="O13" s="76">
        <f t="shared" si="2"/>
        <v>25.187492788738897</v>
      </c>
      <c r="P13" s="70"/>
      <c r="Q13" s="70"/>
      <c r="R13" s="70"/>
      <c r="S13" s="70"/>
      <c r="T13" s="70"/>
      <c r="U13" s="70"/>
      <c r="V13" s="70"/>
      <c r="W13" s="70"/>
      <c r="X13" s="70"/>
      <c r="Y13" s="70"/>
      <c r="Z13" s="70"/>
    </row>
    <row r="14" spans="1:26" ht="28.5" customHeight="1" x14ac:dyDescent="0.3">
      <c r="A14" s="11" t="s">
        <v>199</v>
      </c>
      <c r="B14" s="11" t="s">
        <v>200</v>
      </c>
      <c r="C14" s="11" t="s">
        <v>201</v>
      </c>
      <c r="D14" s="51">
        <v>686</v>
      </c>
      <c r="E14" s="51">
        <v>569</v>
      </c>
      <c r="F14" s="51">
        <v>507</v>
      </c>
      <c r="G14" s="51">
        <v>197</v>
      </c>
      <c r="H14" s="51">
        <v>1959</v>
      </c>
      <c r="I14" s="51">
        <v>471</v>
      </c>
      <c r="J14" s="51">
        <v>537</v>
      </c>
      <c r="K14" s="51">
        <v>373</v>
      </c>
      <c r="L14" s="51">
        <v>162</v>
      </c>
      <c r="M14" s="51">
        <v>1543</v>
      </c>
      <c r="N14" s="50">
        <f t="shared" si="0"/>
        <v>416</v>
      </c>
      <c r="O14" s="51">
        <f t="shared" si="2"/>
        <v>26.960466623460789</v>
      </c>
      <c r="P14" s="70"/>
      <c r="Q14" s="70"/>
      <c r="R14" s="70"/>
      <c r="S14" s="70"/>
      <c r="T14" s="70"/>
      <c r="U14" s="70"/>
      <c r="V14" s="70"/>
      <c r="W14" s="70"/>
      <c r="X14" s="70"/>
      <c r="Y14" s="70"/>
      <c r="Z14" s="70"/>
    </row>
    <row r="15" spans="1:26" ht="28.5" customHeight="1" x14ac:dyDescent="0.3">
      <c r="A15" s="11" t="s">
        <v>202</v>
      </c>
      <c r="B15" s="11" t="s">
        <v>203</v>
      </c>
      <c r="C15" s="11" t="s">
        <v>129</v>
      </c>
      <c r="D15" s="51">
        <v>461</v>
      </c>
      <c r="E15" s="51">
        <v>732</v>
      </c>
      <c r="F15" s="51">
        <v>342</v>
      </c>
      <c r="G15" s="51">
        <v>58</v>
      </c>
      <c r="H15" s="51">
        <v>1593</v>
      </c>
      <c r="I15" s="51">
        <v>462</v>
      </c>
      <c r="J15" s="51">
        <v>710</v>
      </c>
      <c r="K15" s="51">
        <v>351</v>
      </c>
      <c r="L15" s="51">
        <v>58</v>
      </c>
      <c r="M15" s="51">
        <v>1581</v>
      </c>
      <c r="N15" s="50">
        <f t="shared" si="0"/>
        <v>12</v>
      </c>
      <c r="O15" s="51">
        <f t="shared" si="2"/>
        <v>0.75901328273244784</v>
      </c>
      <c r="P15" s="70"/>
      <c r="Q15" s="70"/>
      <c r="R15" s="70"/>
      <c r="S15" s="70"/>
      <c r="T15" s="70"/>
      <c r="U15" s="70"/>
      <c r="V15" s="70"/>
      <c r="W15" s="70"/>
      <c r="X15" s="70"/>
      <c r="Y15" s="70"/>
      <c r="Z15" s="70"/>
    </row>
    <row r="16" spans="1:26" ht="28.5" customHeight="1" x14ac:dyDescent="0.3">
      <c r="A16" s="11" t="s">
        <v>204</v>
      </c>
      <c r="B16" s="11" t="s">
        <v>205</v>
      </c>
      <c r="C16" s="11" t="s">
        <v>201</v>
      </c>
      <c r="D16" s="51">
        <v>201</v>
      </c>
      <c r="E16" s="51">
        <v>166</v>
      </c>
      <c r="F16" s="51">
        <v>58</v>
      </c>
      <c r="G16" s="51">
        <v>45</v>
      </c>
      <c r="H16" s="51">
        <v>470</v>
      </c>
      <c r="I16" s="51">
        <v>176</v>
      </c>
      <c r="J16" s="51">
        <v>230</v>
      </c>
      <c r="K16" s="51">
        <v>70</v>
      </c>
      <c r="L16" s="51">
        <v>51</v>
      </c>
      <c r="M16" s="51">
        <v>527</v>
      </c>
      <c r="N16" s="50">
        <f t="shared" si="0"/>
        <v>-57</v>
      </c>
      <c r="O16" s="51">
        <f t="shared" si="2"/>
        <v>-10.815939278937382</v>
      </c>
      <c r="P16" s="70"/>
      <c r="Q16" s="70"/>
      <c r="R16" s="70"/>
      <c r="S16" s="70"/>
      <c r="T16" s="70"/>
      <c r="U16" s="70"/>
      <c r="V16" s="70"/>
      <c r="W16" s="70"/>
      <c r="X16" s="70"/>
      <c r="Y16" s="70"/>
      <c r="Z16" s="70"/>
    </row>
    <row r="17" spans="1:26" ht="28.5" customHeight="1" x14ac:dyDescent="0.3">
      <c r="A17" s="11" t="s">
        <v>206</v>
      </c>
      <c r="B17" s="11" t="s">
        <v>207</v>
      </c>
      <c r="C17" s="11" t="s">
        <v>201</v>
      </c>
      <c r="D17" s="51">
        <v>4</v>
      </c>
      <c r="E17" s="51">
        <v>382</v>
      </c>
      <c r="F17" s="51">
        <v>53</v>
      </c>
      <c r="G17" s="51">
        <v>9</v>
      </c>
      <c r="H17" s="51">
        <v>448</v>
      </c>
      <c r="I17" s="51">
        <v>11</v>
      </c>
      <c r="J17" s="51">
        <v>459</v>
      </c>
      <c r="K17" s="51">
        <v>66</v>
      </c>
      <c r="L17" s="51">
        <v>13</v>
      </c>
      <c r="M17" s="51">
        <v>549</v>
      </c>
      <c r="N17" s="50">
        <f t="shared" si="0"/>
        <v>-101</v>
      </c>
      <c r="O17" s="51">
        <f t="shared" si="2"/>
        <v>-18.397085610200364</v>
      </c>
      <c r="P17" s="70"/>
      <c r="Q17" s="70"/>
      <c r="R17" s="70"/>
      <c r="S17" s="70"/>
      <c r="T17" s="70"/>
      <c r="U17" s="70"/>
      <c r="V17" s="70"/>
      <c r="W17" s="70"/>
      <c r="X17" s="70"/>
      <c r="Y17" s="70"/>
      <c r="Z17" s="70"/>
    </row>
    <row r="18" spans="1:26" ht="28.5" customHeight="1" x14ac:dyDescent="0.3">
      <c r="A18" s="11" t="s">
        <v>208</v>
      </c>
      <c r="B18" s="11" t="s">
        <v>207</v>
      </c>
      <c r="C18" s="11" t="s">
        <v>201</v>
      </c>
      <c r="D18" s="51">
        <v>8</v>
      </c>
      <c r="E18" s="51">
        <v>37</v>
      </c>
      <c r="F18" s="51">
        <v>14</v>
      </c>
      <c r="G18" s="51">
        <v>9</v>
      </c>
      <c r="H18" s="51">
        <v>68</v>
      </c>
      <c r="I18" s="51">
        <v>12</v>
      </c>
      <c r="J18" s="51">
        <v>68</v>
      </c>
      <c r="K18" s="51">
        <v>19</v>
      </c>
      <c r="L18" s="51">
        <v>11</v>
      </c>
      <c r="M18" s="51">
        <v>110</v>
      </c>
      <c r="N18" s="50">
        <f t="shared" si="0"/>
        <v>-42</v>
      </c>
      <c r="O18" s="51">
        <f t="shared" si="2"/>
        <v>-38.181818181818187</v>
      </c>
      <c r="P18" s="70"/>
      <c r="Q18" s="70"/>
      <c r="R18" s="70"/>
      <c r="S18" s="70"/>
      <c r="T18" s="70"/>
      <c r="U18" s="70"/>
      <c r="V18" s="70"/>
      <c r="W18" s="70"/>
      <c r="X18" s="70"/>
      <c r="Y18" s="70"/>
      <c r="Z18" s="70"/>
    </row>
    <row r="19" spans="1:26" ht="28.5" customHeight="1" x14ac:dyDescent="0.3">
      <c r="A19" s="11" t="s">
        <v>209</v>
      </c>
      <c r="B19" s="11"/>
      <c r="C19" s="11" t="s">
        <v>201</v>
      </c>
      <c r="D19" s="51">
        <v>7</v>
      </c>
      <c r="E19" s="51">
        <v>25</v>
      </c>
      <c r="F19" s="51">
        <v>13</v>
      </c>
      <c r="G19" s="51">
        <v>2</v>
      </c>
      <c r="H19" s="51">
        <v>47</v>
      </c>
      <c r="I19" s="51">
        <v>1</v>
      </c>
      <c r="J19" s="51">
        <v>40</v>
      </c>
      <c r="K19" s="51">
        <v>9</v>
      </c>
      <c r="L19" s="51">
        <v>2</v>
      </c>
      <c r="M19" s="51">
        <v>52</v>
      </c>
      <c r="N19" s="50">
        <f t="shared" si="0"/>
        <v>-5</v>
      </c>
      <c r="O19" s="51">
        <f t="shared" si="2"/>
        <v>-9.6153846153846168</v>
      </c>
      <c r="P19" s="70"/>
      <c r="Q19" s="70"/>
      <c r="R19" s="70"/>
      <c r="S19" s="70"/>
      <c r="T19" s="70"/>
      <c r="U19" s="70"/>
      <c r="V19" s="70"/>
      <c r="W19" s="70"/>
      <c r="X19" s="70"/>
      <c r="Y19" s="70"/>
      <c r="Z19" s="70"/>
    </row>
    <row r="20" spans="1:26" ht="28.5" customHeight="1" x14ac:dyDescent="0.3">
      <c r="A20" s="11" t="s">
        <v>210</v>
      </c>
      <c r="B20" s="11" t="s">
        <v>211</v>
      </c>
      <c r="C20" s="11" t="s">
        <v>129</v>
      </c>
      <c r="D20" s="51">
        <v>5</v>
      </c>
      <c r="E20" s="51">
        <v>57</v>
      </c>
      <c r="F20" s="51">
        <v>4</v>
      </c>
      <c r="G20" s="51">
        <v>10</v>
      </c>
      <c r="H20" s="51">
        <v>76</v>
      </c>
      <c r="I20" s="51">
        <v>0</v>
      </c>
      <c r="J20" s="51">
        <v>13</v>
      </c>
      <c r="K20" s="51">
        <v>1</v>
      </c>
      <c r="L20" s="51">
        <v>0</v>
      </c>
      <c r="M20" s="51">
        <v>14</v>
      </c>
      <c r="N20" s="50">
        <f t="shared" si="0"/>
        <v>62</v>
      </c>
      <c r="O20" s="51">
        <f t="shared" si="2"/>
        <v>442.85714285714289</v>
      </c>
      <c r="P20" s="70"/>
      <c r="Q20" s="70"/>
      <c r="R20" s="70"/>
      <c r="S20" s="70"/>
      <c r="T20" s="70"/>
      <c r="U20" s="70"/>
      <c r="V20" s="70"/>
      <c r="W20" s="70"/>
      <c r="X20" s="70"/>
      <c r="Y20" s="70"/>
      <c r="Z20" s="70"/>
    </row>
    <row r="21" spans="1:26" ht="28.5" customHeight="1" x14ac:dyDescent="0.3">
      <c r="A21" s="11" t="s">
        <v>212</v>
      </c>
      <c r="B21" s="11" t="s">
        <v>213</v>
      </c>
      <c r="C21" s="11" t="s">
        <v>129</v>
      </c>
      <c r="D21" s="51">
        <v>748</v>
      </c>
      <c r="E21" s="51">
        <v>92</v>
      </c>
      <c r="F21" s="51">
        <v>129</v>
      </c>
      <c r="G21" s="51">
        <v>211</v>
      </c>
      <c r="H21" s="51">
        <v>1180</v>
      </c>
      <c r="I21" s="51">
        <v>806</v>
      </c>
      <c r="J21" s="51">
        <v>104</v>
      </c>
      <c r="K21" s="51">
        <v>148</v>
      </c>
      <c r="L21" s="51">
        <v>220</v>
      </c>
      <c r="M21" s="51">
        <v>1278</v>
      </c>
      <c r="N21" s="50">
        <f t="shared" si="0"/>
        <v>-98</v>
      </c>
      <c r="O21" s="51">
        <f t="shared" si="2"/>
        <v>-7.6682316118935834</v>
      </c>
      <c r="P21" s="70"/>
      <c r="Q21" s="70"/>
      <c r="R21" s="70"/>
      <c r="S21" s="70"/>
      <c r="T21" s="70"/>
      <c r="U21" s="70"/>
      <c r="V21" s="70"/>
      <c r="W21" s="70"/>
      <c r="X21" s="70"/>
      <c r="Y21" s="70"/>
      <c r="Z21" s="70"/>
    </row>
    <row r="22" spans="1:26" ht="28.5" customHeight="1" x14ac:dyDescent="0.3">
      <c r="A22" s="11" t="s">
        <v>214</v>
      </c>
      <c r="B22" s="11" t="s">
        <v>215</v>
      </c>
      <c r="C22" s="11" t="s">
        <v>129</v>
      </c>
      <c r="D22" s="51">
        <v>782</v>
      </c>
      <c r="E22" s="51">
        <v>13</v>
      </c>
      <c r="F22" s="51">
        <v>16</v>
      </c>
      <c r="G22" s="51">
        <v>10</v>
      </c>
      <c r="H22" s="51">
        <v>821</v>
      </c>
      <c r="I22" s="51">
        <v>686</v>
      </c>
      <c r="J22" s="51">
        <v>37</v>
      </c>
      <c r="K22" s="51">
        <v>25</v>
      </c>
      <c r="L22" s="51">
        <v>12</v>
      </c>
      <c r="M22" s="51">
        <v>760</v>
      </c>
      <c r="N22" s="50">
        <f t="shared" si="0"/>
        <v>61</v>
      </c>
      <c r="O22" s="51">
        <f t="shared" si="2"/>
        <v>8.026315789473685</v>
      </c>
      <c r="P22" s="70"/>
      <c r="Q22" s="70"/>
      <c r="R22" s="70"/>
      <c r="S22" s="70"/>
      <c r="T22" s="70"/>
      <c r="U22" s="70"/>
      <c r="V22" s="70"/>
      <c r="W22" s="70"/>
      <c r="X22" s="70"/>
      <c r="Y22" s="70"/>
      <c r="Z22" s="70"/>
    </row>
    <row r="23" spans="1:26" ht="28.5" customHeight="1" x14ac:dyDescent="0.3">
      <c r="A23" s="11" t="s">
        <v>216</v>
      </c>
      <c r="B23" s="11" t="s">
        <v>217</v>
      </c>
      <c r="C23" s="11" t="s">
        <v>129</v>
      </c>
      <c r="D23" s="51">
        <v>175</v>
      </c>
      <c r="E23" s="51">
        <v>10</v>
      </c>
      <c r="F23" s="51">
        <v>35</v>
      </c>
      <c r="G23" s="51">
        <v>23</v>
      </c>
      <c r="H23" s="51">
        <v>243</v>
      </c>
      <c r="I23" s="51">
        <v>160</v>
      </c>
      <c r="J23" s="51">
        <v>12</v>
      </c>
      <c r="K23" s="51">
        <v>30</v>
      </c>
      <c r="L23" s="51">
        <v>19</v>
      </c>
      <c r="M23" s="51">
        <v>221</v>
      </c>
      <c r="N23" s="50">
        <f t="shared" si="0"/>
        <v>22</v>
      </c>
      <c r="O23" s="51">
        <f t="shared" si="2"/>
        <v>9.9547511312217196</v>
      </c>
      <c r="P23" s="70"/>
      <c r="Q23" s="70"/>
      <c r="R23" s="70"/>
      <c r="S23" s="70"/>
      <c r="T23" s="70"/>
      <c r="U23" s="70"/>
      <c r="V23" s="70"/>
      <c r="W23" s="70"/>
      <c r="X23" s="70"/>
      <c r="Y23" s="70"/>
      <c r="Z23" s="70"/>
    </row>
    <row r="24" spans="1:26" ht="28.5" customHeight="1" x14ac:dyDescent="0.3">
      <c r="A24" s="11" t="s">
        <v>23</v>
      </c>
      <c r="B24" s="11"/>
      <c r="C24" s="11" t="s">
        <v>129</v>
      </c>
      <c r="D24" s="51">
        <v>126</v>
      </c>
      <c r="E24" s="51">
        <v>0</v>
      </c>
      <c r="F24" s="51">
        <v>57</v>
      </c>
      <c r="G24" s="51">
        <v>8</v>
      </c>
      <c r="H24" s="51">
        <v>191</v>
      </c>
      <c r="I24" s="51">
        <v>193</v>
      </c>
      <c r="J24" s="51">
        <v>-1</v>
      </c>
      <c r="K24" s="51">
        <v>59</v>
      </c>
      <c r="L24" s="51">
        <v>20</v>
      </c>
      <c r="M24" s="51">
        <v>271</v>
      </c>
      <c r="N24" s="50">
        <f t="shared" si="0"/>
        <v>-80</v>
      </c>
      <c r="O24" s="51">
        <f t="shared" si="2"/>
        <v>-29.520295202952028</v>
      </c>
      <c r="P24" s="70"/>
      <c r="Q24" s="70"/>
      <c r="R24" s="70"/>
      <c r="S24" s="70"/>
      <c r="T24" s="70"/>
      <c r="U24" s="70"/>
      <c r="V24" s="70"/>
      <c r="W24" s="70"/>
      <c r="X24" s="70"/>
      <c r="Y24" s="70"/>
      <c r="Z24" s="70"/>
    </row>
    <row r="25" spans="1:26" ht="28.5" customHeight="1" x14ac:dyDescent="0.3">
      <c r="A25" s="72" t="s">
        <v>218</v>
      </c>
      <c r="B25" s="72"/>
      <c r="C25" s="72"/>
      <c r="D25" s="74">
        <v>3203</v>
      </c>
      <c r="E25" s="74">
        <v>2083</v>
      </c>
      <c r="F25" s="74">
        <v>1228</v>
      </c>
      <c r="G25" s="74">
        <v>582</v>
      </c>
      <c r="H25" s="74">
        <v>7096</v>
      </c>
      <c r="I25" s="74">
        <v>2978</v>
      </c>
      <c r="J25" s="74">
        <v>2209</v>
      </c>
      <c r="K25" s="74">
        <v>1151</v>
      </c>
      <c r="L25" s="74">
        <v>568</v>
      </c>
      <c r="M25" s="74">
        <v>6906</v>
      </c>
      <c r="N25" s="75">
        <f t="shared" si="0"/>
        <v>190</v>
      </c>
      <c r="O25" s="76">
        <f t="shared" si="2"/>
        <v>2.7512308137851145</v>
      </c>
      <c r="P25" s="77"/>
      <c r="Q25" s="77"/>
      <c r="R25" s="77"/>
      <c r="S25" s="77"/>
      <c r="T25" s="77"/>
      <c r="U25" s="77"/>
      <c r="V25" s="77"/>
      <c r="W25" s="77"/>
      <c r="X25" s="77"/>
      <c r="Y25" s="77"/>
      <c r="Z25" s="77"/>
    </row>
    <row r="26" spans="1:26" ht="28.5" customHeight="1" x14ac:dyDescent="0.3">
      <c r="A26" s="24" t="s">
        <v>219</v>
      </c>
      <c r="B26" s="11" t="s">
        <v>220</v>
      </c>
      <c r="C26" s="11" t="s">
        <v>221</v>
      </c>
      <c r="D26" s="51">
        <v>567</v>
      </c>
      <c r="E26" s="51">
        <v>1022</v>
      </c>
      <c r="F26" s="51">
        <v>694</v>
      </c>
      <c r="G26" s="51">
        <v>438</v>
      </c>
      <c r="H26" s="51">
        <v>2721</v>
      </c>
      <c r="I26" s="51">
        <v>547</v>
      </c>
      <c r="J26" s="51">
        <v>829</v>
      </c>
      <c r="K26" s="51">
        <v>678</v>
      </c>
      <c r="L26" s="51">
        <v>441</v>
      </c>
      <c r="M26" s="51">
        <v>2495</v>
      </c>
      <c r="N26" s="50">
        <f t="shared" si="0"/>
        <v>226</v>
      </c>
      <c r="O26" s="51">
        <f t="shared" si="2"/>
        <v>9.0581162324649291</v>
      </c>
      <c r="P26" s="70"/>
      <c r="Q26" s="70"/>
      <c r="R26" s="70"/>
      <c r="S26" s="70"/>
      <c r="T26" s="70"/>
      <c r="U26" s="70"/>
      <c r="V26" s="70"/>
      <c r="W26" s="70"/>
      <c r="X26" s="70"/>
      <c r="Y26" s="70"/>
      <c r="Z26" s="70"/>
    </row>
    <row r="27" spans="1:26" ht="28.5" customHeight="1" x14ac:dyDescent="0.3">
      <c r="A27" s="11" t="s">
        <v>222</v>
      </c>
      <c r="B27" s="11" t="s">
        <v>223</v>
      </c>
      <c r="C27" s="11" t="s">
        <v>221</v>
      </c>
      <c r="D27" s="51">
        <v>798</v>
      </c>
      <c r="E27" s="51">
        <v>71</v>
      </c>
      <c r="F27" s="51">
        <v>73</v>
      </c>
      <c r="G27" s="51">
        <v>54</v>
      </c>
      <c r="H27" s="51">
        <v>996</v>
      </c>
      <c r="I27" s="51">
        <v>1190</v>
      </c>
      <c r="J27" s="51">
        <v>110</v>
      </c>
      <c r="K27" s="51">
        <v>81</v>
      </c>
      <c r="L27" s="51">
        <v>85</v>
      </c>
      <c r="M27" s="51">
        <v>1466</v>
      </c>
      <c r="N27" s="50">
        <f t="shared" si="0"/>
        <v>-470</v>
      </c>
      <c r="O27" s="51">
        <f t="shared" si="2"/>
        <v>-32.060027285129607</v>
      </c>
      <c r="P27" s="70"/>
      <c r="Q27" s="70"/>
      <c r="R27" s="70"/>
      <c r="S27" s="70"/>
      <c r="T27" s="70"/>
      <c r="U27" s="70"/>
      <c r="V27" s="70"/>
      <c r="W27" s="70"/>
      <c r="X27" s="70"/>
      <c r="Y27" s="70"/>
      <c r="Z27" s="70"/>
    </row>
    <row r="28" spans="1:26" ht="28.5" customHeight="1" x14ac:dyDescent="0.3">
      <c r="A28" s="11" t="s">
        <v>224</v>
      </c>
      <c r="B28" s="11" t="s">
        <v>225</v>
      </c>
      <c r="C28" s="11" t="s">
        <v>221</v>
      </c>
      <c r="D28" s="51">
        <v>12</v>
      </c>
      <c r="E28" s="51">
        <v>603</v>
      </c>
      <c r="F28" s="51">
        <v>203</v>
      </c>
      <c r="G28" s="51">
        <v>131</v>
      </c>
      <c r="H28" s="51">
        <v>949</v>
      </c>
      <c r="I28" s="51">
        <v>5</v>
      </c>
      <c r="J28" s="51">
        <v>482</v>
      </c>
      <c r="K28" s="51">
        <v>118</v>
      </c>
      <c r="L28" s="51">
        <v>99</v>
      </c>
      <c r="M28" s="51">
        <v>704</v>
      </c>
      <c r="N28" s="50">
        <f t="shared" si="0"/>
        <v>245</v>
      </c>
      <c r="O28" s="51">
        <f t="shared" si="2"/>
        <v>34.801136363636367</v>
      </c>
      <c r="P28" s="70"/>
      <c r="Q28" s="70"/>
      <c r="R28" s="70"/>
      <c r="S28" s="70"/>
      <c r="T28" s="70"/>
      <c r="U28" s="70"/>
      <c r="V28" s="70"/>
      <c r="W28" s="70"/>
      <c r="X28" s="70"/>
      <c r="Y28" s="70"/>
      <c r="Z28" s="70"/>
    </row>
    <row r="29" spans="1:26" ht="28.5" customHeight="1" x14ac:dyDescent="0.3">
      <c r="A29" s="11" t="s">
        <v>226</v>
      </c>
      <c r="B29" s="11" t="s">
        <v>227</v>
      </c>
      <c r="C29" s="11" t="s">
        <v>221</v>
      </c>
      <c r="D29" s="51">
        <v>4</v>
      </c>
      <c r="E29" s="51">
        <v>190</v>
      </c>
      <c r="F29" s="51">
        <v>22</v>
      </c>
      <c r="G29" s="51">
        <v>1</v>
      </c>
      <c r="H29" s="51">
        <v>217</v>
      </c>
      <c r="I29" s="51">
        <v>4</v>
      </c>
      <c r="J29" s="51">
        <v>184</v>
      </c>
      <c r="K29" s="51">
        <v>26</v>
      </c>
      <c r="L29" s="51">
        <v>1</v>
      </c>
      <c r="M29" s="51">
        <v>215</v>
      </c>
      <c r="N29" s="50">
        <f t="shared" si="0"/>
        <v>2</v>
      </c>
      <c r="O29" s="51">
        <f t="shared" si="2"/>
        <v>0.93023255813953487</v>
      </c>
      <c r="P29" s="70"/>
      <c r="Q29" s="70"/>
      <c r="R29" s="70"/>
      <c r="S29" s="70"/>
      <c r="T29" s="70"/>
      <c r="U29" s="70"/>
      <c r="V29" s="70"/>
      <c r="W29" s="70"/>
      <c r="X29" s="70"/>
      <c r="Y29" s="70"/>
      <c r="Z29" s="70"/>
    </row>
    <row r="30" spans="1:26" ht="28.5" customHeight="1" x14ac:dyDescent="0.3">
      <c r="A30" s="11" t="s">
        <v>228</v>
      </c>
      <c r="B30" s="11" t="s">
        <v>229</v>
      </c>
      <c r="C30" s="11" t="s">
        <v>221</v>
      </c>
      <c r="D30" s="51">
        <v>1</v>
      </c>
      <c r="E30" s="51">
        <v>44</v>
      </c>
      <c r="F30" s="51">
        <v>3</v>
      </c>
      <c r="G30" s="51">
        <v>0</v>
      </c>
      <c r="H30" s="51">
        <v>48</v>
      </c>
      <c r="I30" s="51">
        <v>0</v>
      </c>
      <c r="J30" s="51">
        <v>42</v>
      </c>
      <c r="K30" s="51">
        <v>0</v>
      </c>
      <c r="L30" s="51">
        <v>0</v>
      </c>
      <c r="M30" s="51">
        <v>42</v>
      </c>
      <c r="N30" s="50">
        <f t="shared" si="0"/>
        <v>6</v>
      </c>
      <c r="O30" s="51">
        <f t="shared" si="2"/>
        <v>14.285714285714285</v>
      </c>
      <c r="P30" s="70"/>
      <c r="Q30" s="70"/>
      <c r="R30" s="70"/>
      <c r="S30" s="70"/>
      <c r="T30" s="70"/>
      <c r="U30" s="70"/>
      <c r="V30" s="70"/>
      <c r="W30" s="70"/>
      <c r="X30" s="70"/>
      <c r="Y30" s="70"/>
      <c r="Z30" s="70"/>
    </row>
    <row r="31" spans="1:26" ht="28.5" customHeight="1" x14ac:dyDescent="0.3">
      <c r="A31" s="11" t="s">
        <v>230</v>
      </c>
      <c r="B31" s="11" t="s">
        <v>231</v>
      </c>
      <c r="C31" s="11" t="s">
        <v>221</v>
      </c>
      <c r="D31" s="50">
        <v>14</v>
      </c>
      <c r="E31" s="50">
        <v>5</v>
      </c>
      <c r="F31" s="50">
        <v>0</v>
      </c>
      <c r="G31" s="50">
        <v>9</v>
      </c>
      <c r="H31" s="50">
        <v>28</v>
      </c>
      <c r="I31" s="50">
        <v>0</v>
      </c>
      <c r="J31" s="50">
        <v>0</v>
      </c>
      <c r="K31" s="50">
        <v>0</v>
      </c>
      <c r="L31" s="50">
        <v>2</v>
      </c>
      <c r="M31" s="51">
        <v>2</v>
      </c>
      <c r="N31" s="50">
        <f t="shared" si="0"/>
        <v>26</v>
      </c>
      <c r="O31" s="51">
        <f t="shared" si="2"/>
        <v>1300</v>
      </c>
      <c r="P31" s="70"/>
      <c r="Q31" s="70"/>
      <c r="R31" s="70"/>
      <c r="S31" s="70"/>
      <c r="T31" s="70"/>
      <c r="U31" s="70"/>
      <c r="V31" s="70"/>
      <c r="W31" s="70"/>
      <c r="X31" s="70"/>
      <c r="Y31" s="70"/>
      <c r="Z31" s="70"/>
    </row>
    <row r="32" spans="1:26" ht="28.5" customHeight="1" x14ac:dyDescent="0.3">
      <c r="A32" s="11" t="s">
        <v>23</v>
      </c>
      <c r="B32" s="11"/>
      <c r="C32" s="11" t="s">
        <v>221</v>
      </c>
      <c r="D32" s="51">
        <v>203</v>
      </c>
      <c r="E32" s="51">
        <v>6</v>
      </c>
      <c r="F32" s="51">
        <v>176</v>
      </c>
      <c r="G32" s="51">
        <v>13</v>
      </c>
      <c r="H32" s="51">
        <v>398</v>
      </c>
      <c r="I32" s="51">
        <v>241</v>
      </c>
      <c r="J32" s="51">
        <v>6</v>
      </c>
      <c r="K32" s="51">
        <v>204</v>
      </c>
      <c r="L32" s="51">
        <v>16</v>
      </c>
      <c r="M32" s="51">
        <v>467</v>
      </c>
      <c r="N32" s="50">
        <f t="shared" si="0"/>
        <v>-69</v>
      </c>
      <c r="O32" s="51">
        <f t="shared" si="2"/>
        <v>-14.775160599571734</v>
      </c>
      <c r="P32" s="70"/>
      <c r="Q32" s="70"/>
      <c r="R32" s="70"/>
      <c r="S32" s="70"/>
      <c r="T32" s="70"/>
      <c r="U32" s="70"/>
      <c r="V32" s="70"/>
      <c r="W32" s="70"/>
      <c r="X32" s="70"/>
      <c r="Y32" s="70"/>
      <c r="Z32" s="70"/>
    </row>
    <row r="33" spans="1:26" ht="28.5" customHeight="1" x14ac:dyDescent="0.3">
      <c r="A33" s="72" t="s">
        <v>232</v>
      </c>
      <c r="B33" s="72"/>
      <c r="C33" s="72"/>
      <c r="D33" s="74">
        <v>1599</v>
      </c>
      <c r="E33" s="74">
        <v>1941</v>
      </c>
      <c r="F33" s="74">
        <v>1171</v>
      </c>
      <c r="G33" s="74">
        <v>646</v>
      </c>
      <c r="H33" s="74">
        <v>5357</v>
      </c>
      <c r="I33" s="74">
        <v>1987</v>
      </c>
      <c r="J33" s="74">
        <v>1653</v>
      </c>
      <c r="K33" s="74">
        <v>1107</v>
      </c>
      <c r="L33" s="74">
        <v>644</v>
      </c>
      <c r="M33" s="74">
        <v>5391</v>
      </c>
      <c r="N33" s="75">
        <f t="shared" si="0"/>
        <v>-34</v>
      </c>
      <c r="O33" s="76">
        <f t="shared" si="2"/>
        <v>-0.63068076423669084</v>
      </c>
      <c r="P33" s="70"/>
      <c r="Q33" s="70"/>
      <c r="R33" s="70"/>
      <c r="S33" s="70"/>
      <c r="T33" s="70"/>
      <c r="U33" s="70"/>
      <c r="V33" s="70"/>
      <c r="W33" s="70"/>
      <c r="X33" s="70"/>
      <c r="Y33" s="70"/>
      <c r="Z33" s="70"/>
    </row>
    <row r="34" spans="1:26" ht="28.5" customHeight="1" x14ac:dyDescent="0.3">
      <c r="A34" s="11" t="s">
        <v>233</v>
      </c>
      <c r="B34" s="11" t="s">
        <v>234</v>
      </c>
      <c r="C34" s="11" t="s">
        <v>97</v>
      </c>
      <c r="D34" s="51">
        <v>757</v>
      </c>
      <c r="E34" s="51">
        <v>169</v>
      </c>
      <c r="F34" s="51">
        <v>71</v>
      </c>
      <c r="G34" s="51">
        <v>495</v>
      </c>
      <c r="H34" s="51">
        <v>1492</v>
      </c>
      <c r="I34" s="51">
        <v>748</v>
      </c>
      <c r="J34" s="51">
        <v>218</v>
      </c>
      <c r="K34" s="51">
        <v>63</v>
      </c>
      <c r="L34" s="51">
        <v>454</v>
      </c>
      <c r="M34" s="51">
        <v>1483</v>
      </c>
      <c r="N34" s="50">
        <f t="shared" si="0"/>
        <v>9</v>
      </c>
      <c r="O34" s="51">
        <f t="shared" si="2"/>
        <v>0.60687795010114631</v>
      </c>
      <c r="P34" s="70"/>
      <c r="Q34" s="70"/>
      <c r="R34" s="70"/>
      <c r="S34" s="70"/>
      <c r="T34" s="70"/>
      <c r="U34" s="70"/>
      <c r="V34" s="70"/>
      <c r="W34" s="70"/>
      <c r="X34" s="70"/>
      <c r="Y34" s="70"/>
      <c r="Z34" s="70"/>
    </row>
    <row r="35" spans="1:26" ht="28.5" customHeight="1" x14ac:dyDescent="0.3">
      <c r="A35" s="11" t="s">
        <v>235</v>
      </c>
      <c r="B35" s="11" t="s">
        <v>236</v>
      </c>
      <c r="C35" s="11" t="s">
        <v>221</v>
      </c>
      <c r="D35" s="51">
        <v>0</v>
      </c>
      <c r="E35" s="51">
        <v>47</v>
      </c>
      <c r="F35" s="51">
        <v>325</v>
      </c>
      <c r="G35" s="51">
        <v>0</v>
      </c>
      <c r="H35" s="51">
        <v>372</v>
      </c>
      <c r="I35" s="51">
        <v>0</v>
      </c>
      <c r="J35" s="51">
        <v>46</v>
      </c>
      <c r="K35" s="51">
        <v>312</v>
      </c>
      <c r="L35" s="51">
        <v>0</v>
      </c>
      <c r="M35" s="51">
        <v>358</v>
      </c>
      <c r="N35" s="50">
        <f t="shared" si="0"/>
        <v>14</v>
      </c>
      <c r="O35" s="51">
        <f t="shared" si="2"/>
        <v>3.9106145251396649</v>
      </c>
      <c r="P35" s="70"/>
      <c r="Q35" s="70"/>
      <c r="R35" s="70"/>
      <c r="S35" s="70"/>
      <c r="T35" s="70"/>
      <c r="U35" s="70"/>
      <c r="V35" s="70"/>
      <c r="W35" s="70"/>
      <c r="X35" s="70"/>
      <c r="Y35" s="70"/>
      <c r="Z35" s="70"/>
    </row>
    <row r="36" spans="1:26" ht="28.5" customHeight="1" x14ac:dyDescent="0.3">
      <c r="A36" s="11" t="s">
        <v>237</v>
      </c>
      <c r="B36" s="71" t="s">
        <v>238</v>
      </c>
      <c r="C36" s="71" t="s">
        <v>239</v>
      </c>
      <c r="D36" s="51">
        <v>1</v>
      </c>
      <c r="E36" s="51">
        <v>70</v>
      </c>
      <c r="F36" s="51">
        <v>219</v>
      </c>
      <c r="G36" s="51">
        <v>5</v>
      </c>
      <c r="H36" s="51">
        <v>295</v>
      </c>
      <c r="I36" s="51">
        <v>0</v>
      </c>
      <c r="J36" s="51">
        <v>20</v>
      </c>
      <c r="K36" s="51">
        <v>93</v>
      </c>
      <c r="L36" s="51">
        <v>0</v>
      </c>
      <c r="M36" s="51">
        <v>113</v>
      </c>
      <c r="N36" s="50">
        <f t="shared" si="0"/>
        <v>182</v>
      </c>
      <c r="O36" s="51">
        <f t="shared" si="2"/>
        <v>161.06194690265488</v>
      </c>
      <c r="P36" s="70"/>
      <c r="Q36" s="70"/>
      <c r="R36" s="70"/>
      <c r="S36" s="70"/>
      <c r="T36" s="70"/>
      <c r="U36" s="70"/>
      <c r="V36" s="70"/>
      <c r="W36" s="70"/>
      <c r="X36" s="70"/>
      <c r="Y36" s="70"/>
      <c r="Z36" s="70"/>
    </row>
    <row r="37" spans="1:26" ht="28.5" customHeight="1" x14ac:dyDescent="0.3">
      <c r="A37" s="11" t="s">
        <v>240</v>
      </c>
      <c r="B37" s="11" t="s">
        <v>241</v>
      </c>
      <c r="C37" s="11" t="s">
        <v>97</v>
      </c>
      <c r="D37" s="51">
        <v>152</v>
      </c>
      <c r="E37" s="51">
        <v>6</v>
      </c>
      <c r="F37" s="51">
        <v>20</v>
      </c>
      <c r="G37" s="51">
        <v>5</v>
      </c>
      <c r="H37" s="51">
        <v>183</v>
      </c>
      <c r="I37" s="51">
        <v>179</v>
      </c>
      <c r="J37" s="51">
        <v>10</v>
      </c>
      <c r="K37" s="51">
        <v>49</v>
      </c>
      <c r="L37" s="51">
        <v>25</v>
      </c>
      <c r="M37" s="51">
        <v>263</v>
      </c>
      <c r="N37" s="50">
        <f t="shared" si="0"/>
        <v>-80</v>
      </c>
      <c r="O37" s="51">
        <f t="shared" si="2"/>
        <v>-30.418250950570343</v>
      </c>
      <c r="P37" s="70"/>
      <c r="Q37" s="70"/>
      <c r="R37" s="70"/>
      <c r="S37" s="70"/>
      <c r="T37" s="70"/>
      <c r="U37" s="70"/>
      <c r="V37" s="70"/>
      <c r="W37" s="70"/>
      <c r="X37" s="70"/>
      <c r="Y37" s="70"/>
      <c r="Z37" s="70"/>
    </row>
    <row r="38" spans="1:26" ht="28.5" customHeight="1" x14ac:dyDescent="0.3">
      <c r="A38" s="11" t="s">
        <v>242</v>
      </c>
      <c r="B38" s="11" t="s">
        <v>243</v>
      </c>
      <c r="C38" s="11" t="s">
        <v>62</v>
      </c>
      <c r="D38" s="51">
        <v>55</v>
      </c>
      <c r="E38" s="51">
        <v>17</v>
      </c>
      <c r="F38" s="51">
        <v>29</v>
      </c>
      <c r="G38" s="51">
        <v>16</v>
      </c>
      <c r="H38" s="51">
        <v>117</v>
      </c>
      <c r="I38" s="51">
        <v>50</v>
      </c>
      <c r="J38" s="51">
        <v>34</v>
      </c>
      <c r="K38" s="51">
        <v>88</v>
      </c>
      <c r="L38" s="51">
        <v>19</v>
      </c>
      <c r="M38" s="51">
        <v>191</v>
      </c>
      <c r="N38" s="50">
        <f t="shared" si="0"/>
        <v>-74</v>
      </c>
      <c r="O38" s="51">
        <f t="shared" si="2"/>
        <v>-38.7434554973822</v>
      </c>
      <c r="P38" s="70"/>
      <c r="Q38" s="70"/>
      <c r="R38" s="70"/>
      <c r="S38" s="70"/>
      <c r="T38" s="70"/>
      <c r="U38" s="70"/>
      <c r="V38" s="70"/>
      <c r="W38" s="70"/>
      <c r="X38" s="70"/>
      <c r="Y38" s="70"/>
      <c r="Z38" s="70"/>
    </row>
    <row r="39" spans="1:26" ht="28.5" customHeight="1" x14ac:dyDescent="0.3">
      <c r="A39" s="11" t="s">
        <v>244</v>
      </c>
      <c r="B39" s="11"/>
      <c r="C39" s="11"/>
      <c r="D39" s="51">
        <v>6</v>
      </c>
      <c r="E39" s="51">
        <v>55</v>
      </c>
      <c r="F39" s="51">
        <v>58</v>
      </c>
      <c r="G39" s="51">
        <v>9</v>
      </c>
      <c r="H39" s="51">
        <v>128</v>
      </c>
      <c r="I39" s="51">
        <v>12</v>
      </c>
      <c r="J39" s="51">
        <v>108</v>
      </c>
      <c r="K39" s="51">
        <v>64</v>
      </c>
      <c r="L39" s="51">
        <v>9</v>
      </c>
      <c r="M39" s="51">
        <v>193</v>
      </c>
      <c r="N39" s="50">
        <f t="shared" si="0"/>
        <v>-65</v>
      </c>
      <c r="O39" s="51">
        <f t="shared" si="2"/>
        <v>-33.678756476683937</v>
      </c>
      <c r="P39" s="70"/>
      <c r="Q39" s="70"/>
      <c r="R39" s="70"/>
      <c r="S39" s="70"/>
      <c r="T39" s="70"/>
      <c r="U39" s="70"/>
      <c r="V39" s="70"/>
      <c r="W39" s="70"/>
      <c r="X39" s="70"/>
      <c r="Y39" s="70"/>
      <c r="Z39" s="70"/>
    </row>
    <row r="40" spans="1:26" ht="28.5" customHeight="1" x14ac:dyDescent="0.3">
      <c r="A40" s="78" t="s">
        <v>245</v>
      </c>
      <c r="B40" s="79"/>
      <c r="C40" s="79"/>
      <c r="D40" s="75">
        <v>971</v>
      </c>
      <c r="E40" s="75">
        <v>364</v>
      </c>
      <c r="F40" s="75">
        <v>722</v>
      </c>
      <c r="G40" s="75">
        <v>530</v>
      </c>
      <c r="H40" s="75">
        <v>2587</v>
      </c>
      <c r="I40" s="75">
        <v>989</v>
      </c>
      <c r="J40" s="75">
        <v>436</v>
      </c>
      <c r="K40" s="75">
        <v>669</v>
      </c>
      <c r="L40" s="75">
        <v>507</v>
      </c>
      <c r="M40" s="75">
        <v>2601</v>
      </c>
      <c r="N40" s="75">
        <f t="shared" si="0"/>
        <v>-14</v>
      </c>
      <c r="O40" s="76">
        <f t="shared" si="2"/>
        <v>-0.5382545174932718</v>
      </c>
      <c r="P40" s="70"/>
      <c r="Q40" s="70"/>
      <c r="R40" s="70"/>
      <c r="S40" s="70"/>
      <c r="T40" s="70"/>
      <c r="U40" s="70"/>
      <c r="V40" s="70"/>
      <c r="W40" s="70"/>
      <c r="X40" s="70"/>
      <c r="Y40" s="70"/>
      <c r="Z40" s="70"/>
    </row>
    <row r="41" spans="1:26" ht="28.5" customHeight="1" x14ac:dyDescent="0.3">
      <c r="A41" s="79" t="s">
        <v>246</v>
      </c>
      <c r="B41" s="79"/>
      <c r="C41" s="79"/>
      <c r="D41" s="75">
        <v>8679</v>
      </c>
      <c r="E41" s="75">
        <v>8638</v>
      </c>
      <c r="F41" s="75">
        <v>5059</v>
      </c>
      <c r="G41" s="75">
        <v>3514</v>
      </c>
      <c r="H41" s="75">
        <v>25890</v>
      </c>
      <c r="I41" s="75">
        <v>8165</v>
      </c>
      <c r="J41" s="75">
        <v>7747</v>
      </c>
      <c r="K41" s="75">
        <v>4350</v>
      </c>
      <c r="L41" s="75">
        <v>3303</v>
      </c>
      <c r="M41" s="75">
        <v>23565</v>
      </c>
      <c r="N41" s="75">
        <f t="shared" si="0"/>
        <v>2325</v>
      </c>
      <c r="O41" s="76">
        <f t="shared" si="2"/>
        <v>9.8663271801400381</v>
      </c>
      <c r="P41" s="70"/>
      <c r="Q41" s="70"/>
      <c r="R41" s="70"/>
      <c r="S41" s="70"/>
      <c r="T41" s="70"/>
      <c r="U41" s="70"/>
      <c r="V41" s="70"/>
      <c r="W41" s="70"/>
      <c r="X41" s="70"/>
      <c r="Y41" s="70"/>
      <c r="Z41" s="70"/>
    </row>
    <row r="42" spans="1:26" ht="28.5" customHeight="1" x14ac:dyDescent="0.3">
      <c r="A42" s="78" t="s">
        <v>247</v>
      </c>
      <c r="B42" s="79"/>
      <c r="C42" s="79"/>
      <c r="D42" s="75"/>
      <c r="E42" s="75"/>
      <c r="F42" s="75"/>
      <c r="G42" s="75"/>
      <c r="H42" s="75">
        <v>727</v>
      </c>
      <c r="I42" s="75"/>
      <c r="J42" s="75"/>
      <c r="K42" s="75"/>
      <c r="L42" s="75"/>
      <c r="M42" s="75">
        <v>819</v>
      </c>
      <c r="N42" s="75">
        <f t="shared" si="0"/>
        <v>-92</v>
      </c>
      <c r="O42" s="76">
        <f t="shared" si="2"/>
        <v>-11.233211233211234</v>
      </c>
      <c r="P42" s="77"/>
      <c r="Q42" s="77"/>
      <c r="R42" s="77"/>
      <c r="S42" s="77"/>
      <c r="T42" s="77"/>
      <c r="U42" s="77"/>
      <c r="V42" s="77"/>
      <c r="W42" s="77"/>
      <c r="X42" s="77"/>
      <c r="Y42" s="77"/>
      <c r="Z42" s="77"/>
    </row>
    <row r="43" spans="1:26" ht="28.5" customHeight="1" x14ac:dyDescent="0.3">
      <c r="A43" s="79" t="s">
        <v>248</v>
      </c>
      <c r="B43" s="80"/>
      <c r="C43" s="79"/>
      <c r="D43" s="75"/>
      <c r="E43" s="75"/>
      <c r="F43" s="75"/>
      <c r="G43" s="75"/>
      <c r="H43" s="75">
        <v>26617</v>
      </c>
      <c r="I43" s="75"/>
      <c r="J43" s="75"/>
      <c r="K43" s="75"/>
      <c r="L43" s="75"/>
      <c r="M43" s="75">
        <v>24384</v>
      </c>
      <c r="N43" s="75">
        <f t="shared" si="0"/>
        <v>2233</v>
      </c>
      <c r="O43" s="76">
        <f t="shared" si="2"/>
        <v>9.1576443569553803</v>
      </c>
      <c r="P43" s="77"/>
      <c r="Q43" s="77"/>
      <c r="R43" s="77"/>
      <c r="S43" s="77"/>
      <c r="T43" s="77"/>
      <c r="U43" s="77"/>
      <c r="V43" s="77"/>
      <c r="W43" s="77"/>
      <c r="X43" s="77"/>
      <c r="Y43" s="77"/>
      <c r="Z43" s="77"/>
    </row>
  </sheetData>
  <hyperlinks>
    <hyperlink ref="B43" r:id="rId1" display="https://www.astrazeneca.com/investor-relations/corporate-governance.html" xr:uid="{00000000-0004-0000-0D00-000000000000}"/>
  </hyperlink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2A5DB0"/>
  </sheetPr>
  <dimension ref="A1:AA30"/>
  <sheetViews>
    <sheetView workbookViewId="0">
      <pane ySplit="1" topLeftCell="A2" activePane="bottomLeft" state="frozen"/>
      <selection pane="bottomLeft"/>
    </sheetView>
  </sheetViews>
  <sheetFormatPr defaultColWidth="14.44140625" defaultRowHeight="15.75" customHeight="1" x14ac:dyDescent="0.25"/>
  <cols>
    <col min="1" max="1" width="36.5546875" customWidth="1"/>
    <col min="2" max="2" width="25.88671875" customWidth="1"/>
    <col min="3" max="3" width="32" customWidth="1"/>
    <col min="4" max="5" width="20.33203125" customWidth="1"/>
    <col min="6" max="7" width="15.6640625" customWidth="1"/>
    <col min="8" max="8" width="9.109375" customWidth="1"/>
    <col min="9" max="9" width="12.33203125" customWidth="1"/>
    <col min="10" max="27" width="9.109375" customWidth="1"/>
  </cols>
  <sheetData>
    <row r="1" spans="1:27" ht="31.5" customHeight="1" x14ac:dyDescent="0.25">
      <c r="A1" s="46" t="s">
        <v>1708</v>
      </c>
      <c r="B1" s="47" t="s">
        <v>10</v>
      </c>
      <c r="C1" s="47" t="s">
        <v>11</v>
      </c>
      <c r="D1" s="8" t="s">
        <v>1680</v>
      </c>
      <c r="E1" s="47" t="s">
        <v>1681</v>
      </c>
      <c r="F1" s="47" t="s">
        <v>1682</v>
      </c>
      <c r="G1" s="48" t="s">
        <v>1683</v>
      </c>
      <c r="H1" s="81"/>
      <c r="I1" s="81"/>
      <c r="J1" s="69"/>
      <c r="K1" s="69"/>
      <c r="L1" s="69"/>
      <c r="M1" s="69"/>
      <c r="N1" s="69"/>
      <c r="O1" s="69"/>
      <c r="P1" s="69"/>
      <c r="Q1" s="69"/>
      <c r="R1" s="69"/>
      <c r="S1" s="69"/>
      <c r="T1" s="69"/>
      <c r="U1" s="69"/>
      <c r="V1" s="69"/>
      <c r="W1" s="69"/>
      <c r="X1" s="69"/>
      <c r="Y1" s="69"/>
      <c r="Z1" s="69"/>
      <c r="AA1" s="69"/>
    </row>
    <row r="2" spans="1:27" ht="31.5" customHeight="1" x14ac:dyDescent="0.25">
      <c r="A2" s="11" t="s">
        <v>1709</v>
      </c>
      <c r="B2" s="11"/>
      <c r="C2" s="11" t="s">
        <v>72</v>
      </c>
      <c r="D2" s="51">
        <v>333</v>
      </c>
      <c r="E2" s="51">
        <v>313</v>
      </c>
      <c r="F2" s="51">
        <f t="shared" ref="F2:F30" si="0">D2-E2</f>
        <v>20</v>
      </c>
      <c r="G2" s="51">
        <f t="shared" ref="G2:G30" si="1">(F2/E2)*100</f>
        <v>6.3897763578274756</v>
      </c>
      <c r="H2" s="82"/>
      <c r="I2" s="82"/>
      <c r="J2" s="18"/>
      <c r="K2" s="18"/>
      <c r="L2" s="18"/>
      <c r="M2" s="18"/>
      <c r="N2" s="18"/>
      <c r="O2" s="18"/>
      <c r="P2" s="18"/>
      <c r="Q2" s="18"/>
      <c r="R2" s="18"/>
      <c r="S2" s="18"/>
      <c r="T2" s="18"/>
      <c r="U2" s="18"/>
      <c r="V2" s="18"/>
      <c r="W2" s="18"/>
      <c r="X2" s="18"/>
      <c r="Y2" s="18"/>
      <c r="Z2" s="18"/>
      <c r="AA2" s="18"/>
    </row>
    <row r="3" spans="1:27" ht="31.5" customHeight="1" x14ac:dyDescent="0.25">
      <c r="A3" s="11" t="s">
        <v>394</v>
      </c>
      <c r="B3" s="11"/>
      <c r="C3" s="11" t="s">
        <v>72</v>
      </c>
      <c r="D3" s="51">
        <v>236</v>
      </c>
      <c r="E3" s="51">
        <v>284</v>
      </c>
      <c r="F3" s="51">
        <f t="shared" si="0"/>
        <v>-48</v>
      </c>
      <c r="G3" s="51">
        <f t="shared" si="1"/>
        <v>-16.901408450704224</v>
      </c>
      <c r="H3" s="82"/>
      <c r="I3" s="82"/>
      <c r="J3" s="18"/>
      <c r="K3" s="18"/>
      <c r="L3" s="18"/>
      <c r="M3" s="18"/>
      <c r="N3" s="18"/>
      <c r="O3" s="18"/>
      <c r="P3" s="18"/>
      <c r="Q3" s="18"/>
      <c r="R3" s="18"/>
      <c r="S3" s="18"/>
      <c r="T3" s="18"/>
      <c r="U3" s="18"/>
      <c r="V3" s="18"/>
      <c r="W3" s="18"/>
      <c r="X3" s="18"/>
      <c r="Y3" s="18"/>
      <c r="Z3" s="18"/>
      <c r="AA3" s="18"/>
    </row>
    <row r="4" spans="1:27" ht="31.5" customHeight="1" x14ac:dyDescent="0.25">
      <c r="A4" s="11" t="s">
        <v>395</v>
      </c>
      <c r="B4" s="11"/>
      <c r="C4" s="11" t="s">
        <v>72</v>
      </c>
      <c r="D4" s="51">
        <v>174</v>
      </c>
      <c r="E4" s="51">
        <v>217</v>
      </c>
      <c r="F4" s="51">
        <f t="shared" si="0"/>
        <v>-43</v>
      </c>
      <c r="G4" s="51">
        <f t="shared" si="1"/>
        <v>-19.815668202764979</v>
      </c>
      <c r="H4" s="82"/>
      <c r="I4" s="82"/>
      <c r="J4" s="18"/>
      <c r="K4" s="18"/>
      <c r="L4" s="18"/>
      <c r="M4" s="18"/>
      <c r="N4" s="18"/>
      <c r="O4" s="18"/>
      <c r="P4" s="18"/>
      <c r="Q4" s="18"/>
      <c r="R4" s="18"/>
      <c r="S4" s="18"/>
      <c r="T4" s="18"/>
      <c r="U4" s="18"/>
      <c r="V4" s="18"/>
      <c r="W4" s="18"/>
      <c r="X4" s="18"/>
      <c r="Y4" s="18"/>
      <c r="Z4" s="18"/>
      <c r="AA4" s="18"/>
    </row>
    <row r="5" spans="1:27" ht="31.5" customHeight="1" x14ac:dyDescent="0.25">
      <c r="A5" s="11" t="s">
        <v>396</v>
      </c>
      <c r="B5" s="11"/>
      <c r="C5" s="11" t="s">
        <v>72</v>
      </c>
      <c r="D5" s="51">
        <v>164</v>
      </c>
      <c r="E5" s="51">
        <v>178</v>
      </c>
      <c r="F5" s="51">
        <f t="shared" si="0"/>
        <v>-14</v>
      </c>
      <c r="G5" s="51">
        <f t="shared" si="1"/>
        <v>-7.8651685393258424</v>
      </c>
      <c r="H5" s="82"/>
      <c r="I5" s="82"/>
      <c r="J5" s="18"/>
      <c r="K5" s="18"/>
      <c r="L5" s="18"/>
      <c r="M5" s="18"/>
      <c r="N5" s="18"/>
      <c r="O5" s="18"/>
      <c r="P5" s="18"/>
      <c r="Q5" s="18"/>
      <c r="R5" s="18"/>
      <c r="S5" s="18"/>
      <c r="T5" s="18"/>
      <c r="U5" s="18"/>
      <c r="V5" s="18"/>
      <c r="W5" s="18"/>
      <c r="X5" s="18"/>
      <c r="Y5" s="18"/>
      <c r="Z5" s="18"/>
      <c r="AA5" s="18"/>
    </row>
    <row r="6" spans="1:27" ht="31.5" customHeight="1" x14ac:dyDescent="0.25">
      <c r="A6" s="11" t="s">
        <v>397</v>
      </c>
      <c r="B6" s="11"/>
      <c r="C6" s="11" t="s">
        <v>72</v>
      </c>
      <c r="D6" s="51">
        <v>143</v>
      </c>
      <c r="E6" s="51">
        <v>130</v>
      </c>
      <c r="F6" s="51">
        <f t="shared" si="0"/>
        <v>13</v>
      </c>
      <c r="G6" s="51">
        <f t="shared" si="1"/>
        <v>10</v>
      </c>
      <c r="H6" s="82"/>
      <c r="I6" s="82"/>
      <c r="J6" s="18"/>
      <c r="K6" s="18"/>
      <c r="L6" s="18"/>
      <c r="M6" s="18"/>
      <c r="N6" s="18"/>
      <c r="O6" s="18"/>
      <c r="P6" s="18"/>
      <c r="Q6" s="18"/>
      <c r="R6" s="18"/>
      <c r="S6" s="18"/>
      <c r="T6" s="18"/>
      <c r="U6" s="18"/>
      <c r="V6" s="18"/>
      <c r="W6" s="18"/>
      <c r="X6" s="18"/>
      <c r="Y6" s="18"/>
      <c r="Z6" s="18"/>
      <c r="AA6" s="18"/>
    </row>
    <row r="7" spans="1:27" ht="31.5" customHeight="1" x14ac:dyDescent="0.25">
      <c r="A7" s="11" t="s">
        <v>398</v>
      </c>
      <c r="B7" s="11"/>
      <c r="C7" s="11" t="s">
        <v>72</v>
      </c>
      <c r="D7" s="51">
        <v>131</v>
      </c>
      <c r="E7" s="51">
        <v>135</v>
      </c>
      <c r="F7" s="51">
        <f t="shared" si="0"/>
        <v>-4</v>
      </c>
      <c r="G7" s="51">
        <f t="shared" si="1"/>
        <v>-2.9629629629629632</v>
      </c>
      <c r="H7" s="82"/>
      <c r="I7" s="82"/>
      <c r="J7" s="18"/>
      <c r="K7" s="18"/>
      <c r="L7" s="18"/>
      <c r="M7" s="18"/>
      <c r="N7" s="18"/>
      <c r="O7" s="18"/>
      <c r="P7" s="18"/>
      <c r="Q7" s="18"/>
      <c r="R7" s="18"/>
      <c r="S7" s="18"/>
      <c r="T7" s="18"/>
      <c r="U7" s="18"/>
      <c r="V7" s="18"/>
      <c r="W7" s="18"/>
      <c r="X7" s="18"/>
      <c r="Y7" s="18"/>
      <c r="Z7" s="18"/>
      <c r="AA7" s="18"/>
    </row>
    <row r="8" spans="1:27" ht="31.5" customHeight="1" x14ac:dyDescent="0.25">
      <c r="A8" s="11" t="s">
        <v>399</v>
      </c>
      <c r="B8" s="11" t="s">
        <v>400</v>
      </c>
      <c r="C8" s="11" t="s">
        <v>72</v>
      </c>
      <c r="D8" s="51">
        <v>95</v>
      </c>
      <c r="E8" s="51">
        <v>94</v>
      </c>
      <c r="F8" s="51">
        <f t="shared" si="0"/>
        <v>1</v>
      </c>
      <c r="G8" s="51">
        <f t="shared" si="1"/>
        <v>1.0638297872340425</v>
      </c>
      <c r="H8" s="82"/>
      <c r="I8" s="82"/>
      <c r="J8" s="18"/>
      <c r="K8" s="18"/>
      <c r="L8" s="18"/>
      <c r="M8" s="18"/>
      <c r="N8" s="18"/>
      <c r="O8" s="18"/>
      <c r="P8" s="18"/>
      <c r="Q8" s="18"/>
      <c r="R8" s="18"/>
      <c r="S8" s="18"/>
      <c r="T8" s="18"/>
      <c r="U8" s="18"/>
      <c r="V8" s="18"/>
      <c r="W8" s="18"/>
      <c r="X8" s="18"/>
      <c r="Y8" s="18"/>
      <c r="Z8" s="18"/>
      <c r="AA8" s="18"/>
    </row>
    <row r="9" spans="1:27" ht="31.5" customHeight="1" x14ac:dyDescent="0.25">
      <c r="A9" s="11" t="s">
        <v>401</v>
      </c>
      <c r="B9" s="11"/>
      <c r="C9" s="11" t="s">
        <v>72</v>
      </c>
      <c r="D9" s="51">
        <v>91</v>
      </c>
      <c r="E9" s="51">
        <v>109</v>
      </c>
      <c r="F9" s="51">
        <f t="shared" si="0"/>
        <v>-18</v>
      </c>
      <c r="G9" s="51">
        <f t="shared" si="1"/>
        <v>-16.513761467889911</v>
      </c>
      <c r="H9" s="82"/>
      <c r="I9" s="82"/>
      <c r="J9" s="18"/>
      <c r="K9" s="18"/>
      <c r="L9" s="18"/>
      <c r="M9" s="18"/>
      <c r="N9" s="18"/>
      <c r="O9" s="18"/>
      <c r="P9" s="18"/>
      <c r="Q9" s="18"/>
      <c r="R9" s="18"/>
      <c r="S9" s="18"/>
      <c r="T9" s="18"/>
      <c r="U9" s="18"/>
      <c r="V9" s="18"/>
      <c r="W9" s="18"/>
      <c r="X9" s="18"/>
      <c r="Y9" s="18"/>
      <c r="Z9" s="18"/>
      <c r="AA9" s="18"/>
    </row>
    <row r="10" spans="1:27" ht="31.5" customHeight="1" x14ac:dyDescent="0.25">
      <c r="A10" s="11" t="s">
        <v>402</v>
      </c>
      <c r="B10" s="11"/>
      <c r="C10" s="11"/>
      <c r="D10" s="51">
        <v>81</v>
      </c>
      <c r="E10" s="51">
        <v>100</v>
      </c>
      <c r="F10" s="51">
        <f t="shared" si="0"/>
        <v>-19</v>
      </c>
      <c r="G10" s="51">
        <f t="shared" si="1"/>
        <v>-19</v>
      </c>
      <c r="H10" s="82"/>
      <c r="I10" s="82"/>
      <c r="J10" s="18"/>
      <c r="K10" s="18"/>
      <c r="L10" s="18"/>
      <c r="M10" s="18"/>
      <c r="N10" s="18"/>
      <c r="O10" s="18"/>
      <c r="P10" s="18"/>
      <c r="Q10" s="18"/>
      <c r="R10" s="18"/>
      <c r="S10" s="18"/>
      <c r="T10" s="18"/>
      <c r="U10" s="18"/>
      <c r="V10" s="18"/>
      <c r="W10" s="18"/>
      <c r="X10" s="18"/>
      <c r="Y10" s="18"/>
      <c r="Z10" s="18"/>
      <c r="AA10" s="18"/>
    </row>
    <row r="11" spans="1:27" ht="31.5" customHeight="1" x14ac:dyDescent="0.25">
      <c r="A11" s="11" t="s">
        <v>403</v>
      </c>
      <c r="B11" s="11"/>
      <c r="C11" s="11"/>
      <c r="D11" s="51">
        <v>76</v>
      </c>
      <c r="E11" s="51">
        <v>75</v>
      </c>
      <c r="F11" s="51">
        <f t="shared" si="0"/>
        <v>1</v>
      </c>
      <c r="G11" s="51">
        <f t="shared" si="1"/>
        <v>1.3333333333333335</v>
      </c>
      <c r="H11" s="82"/>
      <c r="I11" s="82"/>
      <c r="J11" s="18"/>
      <c r="K11" s="18"/>
      <c r="L11" s="18"/>
      <c r="M11" s="18"/>
      <c r="N11" s="18"/>
      <c r="O11" s="18"/>
      <c r="P11" s="18"/>
      <c r="Q11" s="18"/>
      <c r="R11" s="18"/>
      <c r="S11" s="18"/>
      <c r="T11" s="18"/>
      <c r="U11" s="18"/>
      <c r="V11" s="18"/>
      <c r="W11" s="18"/>
      <c r="X11" s="18"/>
      <c r="Y11" s="18"/>
      <c r="Z11" s="18"/>
      <c r="AA11" s="18"/>
    </row>
    <row r="12" spans="1:27" ht="31.5" customHeight="1" x14ac:dyDescent="0.25">
      <c r="A12" s="11" t="s">
        <v>404</v>
      </c>
      <c r="B12" s="11" t="s">
        <v>405</v>
      </c>
      <c r="C12" s="32" t="s">
        <v>89</v>
      </c>
      <c r="D12" s="51">
        <v>1482</v>
      </c>
      <c r="E12" s="51">
        <v>1452</v>
      </c>
      <c r="F12" s="51">
        <f t="shared" si="0"/>
        <v>30</v>
      </c>
      <c r="G12" s="51">
        <f t="shared" si="1"/>
        <v>2.0661157024793391</v>
      </c>
      <c r="H12" s="82"/>
      <c r="I12" s="82"/>
      <c r="J12" s="18"/>
      <c r="K12" s="18"/>
      <c r="L12" s="18"/>
      <c r="M12" s="18"/>
      <c r="N12" s="18"/>
      <c r="O12" s="18"/>
      <c r="P12" s="18"/>
      <c r="Q12" s="18"/>
      <c r="R12" s="18"/>
      <c r="S12" s="18"/>
      <c r="T12" s="18"/>
      <c r="U12" s="18"/>
      <c r="V12" s="18"/>
      <c r="W12" s="18"/>
      <c r="X12" s="18"/>
      <c r="Y12" s="18"/>
      <c r="Z12" s="18"/>
      <c r="AA12" s="18"/>
    </row>
    <row r="13" spans="1:27" ht="31.5" customHeight="1" x14ac:dyDescent="0.25">
      <c r="A13" s="11" t="s">
        <v>406</v>
      </c>
      <c r="B13" s="11" t="s">
        <v>407</v>
      </c>
      <c r="C13" s="11" t="s">
        <v>62</v>
      </c>
      <c r="D13" s="51">
        <v>281</v>
      </c>
      <c r="E13" s="51">
        <v>269</v>
      </c>
      <c r="F13" s="51">
        <f t="shared" si="0"/>
        <v>12</v>
      </c>
      <c r="G13" s="51">
        <f t="shared" si="1"/>
        <v>4.4609665427509295</v>
      </c>
      <c r="H13" s="82"/>
      <c r="I13" s="82"/>
      <c r="J13" s="18"/>
      <c r="K13" s="18"/>
      <c r="L13" s="18"/>
      <c r="M13" s="18"/>
      <c r="N13" s="18"/>
      <c r="O13" s="18"/>
      <c r="P13" s="18"/>
      <c r="Q13" s="18"/>
      <c r="R13" s="18"/>
      <c r="S13" s="18"/>
      <c r="T13" s="18"/>
      <c r="U13" s="18"/>
      <c r="V13" s="18"/>
      <c r="W13" s="18"/>
      <c r="X13" s="18"/>
      <c r="Y13" s="18"/>
      <c r="Z13" s="18"/>
      <c r="AA13" s="18"/>
    </row>
    <row r="14" spans="1:27" ht="31.5" customHeight="1" x14ac:dyDescent="0.25">
      <c r="A14" s="11" t="s">
        <v>408</v>
      </c>
      <c r="B14" s="11"/>
      <c r="C14" s="11" t="s">
        <v>56</v>
      </c>
      <c r="D14" s="51">
        <v>210</v>
      </c>
      <c r="E14" s="51">
        <v>143</v>
      </c>
      <c r="F14" s="51">
        <f t="shared" si="0"/>
        <v>67</v>
      </c>
      <c r="G14" s="51">
        <f t="shared" si="1"/>
        <v>46.853146853146853</v>
      </c>
      <c r="H14" s="82"/>
      <c r="I14" s="82"/>
      <c r="J14" s="18"/>
      <c r="K14" s="18"/>
      <c r="L14" s="18"/>
      <c r="M14" s="18"/>
      <c r="N14" s="18"/>
      <c r="O14" s="18"/>
      <c r="P14" s="18"/>
      <c r="Q14" s="18"/>
      <c r="R14" s="18"/>
      <c r="S14" s="18"/>
      <c r="T14" s="18"/>
      <c r="U14" s="18"/>
      <c r="V14" s="18"/>
      <c r="W14" s="18"/>
      <c r="X14" s="18"/>
      <c r="Y14" s="18"/>
      <c r="Z14" s="18"/>
      <c r="AA14" s="18"/>
    </row>
    <row r="15" spans="1:27" ht="31.5" customHeight="1" x14ac:dyDescent="0.25">
      <c r="A15" s="11" t="s">
        <v>409</v>
      </c>
      <c r="B15" s="11" t="s">
        <v>410</v>
      </c>
      <c r="C15" s="36" t="s">
        <v>97</v>
      </c>
      <c r="D15" s="51">
        <v>118</v>
      </c>
      <c r="E15" s="51">
        <v>112</v>
      </c>
      <c r="F15" s="51">
        <f t="shared" si="0"/>
        <v>6</v>
      </c>
      <c r="G15" s="51">
        <f t="shared" si="1"/>
        <v>5.3571428571428568</v>
      </c>
      <c r="H15" s="82"/>
      <c r="I15" s="82"/>
      <c r="J15" s="18"/>
      <c r="K15" s="18"/>
      <c r="L15" s="18"/>
      <c r="M15" s="18"/>
      <c r="N15" s="18"/>
      <c r="O15" s="18"/>
      <c r="P15" s="18"/>
      <c r="Q15" s="18"/>
      <c r="R15" s="18"/>
      <c r="S15" s="18"/>
      <c r="T15" s="18"/>
      <c r="U15" s="18"/>
      <c r="V15" s="18"/>
      <c r="W15" s="18"/>
      <c r="X15" s="18"/>
      <c r="Y15" s="18"/>
      <c r="Z15" s="18"/>
      <c r="AA15" s="18"/>
    </row>
    <row r="16" spans="1:27" ht="31.5" customHeight="1" x14ac:dyDescent="0.25">
      <c r="A16" s="26" t="s">
        <v>411</v>
      </c>
      <c r="B16" s="26"/>
      <c r="C16" s="26"/>
      <c r="D16" s="19">
        <v>4408</v>
      </c>
      <c r="E16" s="19">
        <v>4739</v>
      </c>
      <c r="F16" s="19">
        <f t="shared" si="0"/>
        <v>-331</v>
      </c>
      <c r="G16" s="19">
        <f t="shared" si="1"/>
        <v>-6.9845959063093472</v>
      </c>
      <c r="H16" s="82"/>
      <c r="I16" s="82"/>
      <c r="J16" s="18"/>
      <c r="K16" s="18"/>
      <c r="L16" s="18"/>
      <c r="M16" s="18"/>
      <c r="N16" s="18"/>
      <c r="O16" s="18"/>
      <c r="P16" s="18"/>
      <c r="Q16" s="18"/>
      <c r="R16" s="18"/>
      <c r="S16" s="18"/>
      <c r="T16" s="18"/>
      <c r="U16" s="18"/>
      <c r="V16" s="18"/>
      <c r="W16" s="18"/>
      <c r="X16" s="18"/>
      <c r="Y16" s="18"/>
      <c r="Z16" s="18"/>
      <c r="AA16" s="18"/>
    </row>
    <row r="17" spans="1:27" ht="31.5" customHeight="1" x14ac:dyDescent="0.25">
      <c r="A17" s="11" t="s">
        <v>412</v>
      </c>
      <c r="B17" s="11" t="s">
        <v>407</v>
      </c>
      <c r="C17" s="11" t="s">
        <v>62</v>
      </c>
      <c r="D17" s="51">
        <v>271</v>
      </c>
      <c r="E17" s="51">
        <v>244</v>
      </c>
      <c r="F17" s="51">
        <f t="shared" si="0"/>
        <v>27</v>
      </c>
      <c r="G17" s="51">
        <f t="shared" si="1"/>
        <v>11.065573770491802</v>
      </c>
      <c r="H17" s="82"/>
      <c r="I17" s="82"/>
      <c r="J17" s="18"/>
      <c r="K17" s="18"/>
      <c r="L17" s="18"/>
      <c r="M17" s="18"/>
      <c r="N17" s="18"/>
      <c r="O17" s="18"/>
      <c r="P17" s="18"/>
      <c r="Q17" s="18"/>
      <c r="R17" s="18"/>
      <c r="S17" s="18"/>
      <c r="T17" s="18"/>
      <c r="U17" s="18"/>
      <c r="V17" s="18"/>
      <c r="W17" s="18"/>
      <c r="X17" s="18"/>
      <c r="Y17" s="18"/>
      <c r="Z17" s="18"/>
      <c r="AA17" s="18"/>
    </row>
    <row r="18" spans="1:27" ht="31.5" customHeight="1" x14ac:dyDescent="0.25">
      <c r="A18" s="11" t="s">
        <v>413</v>
      </c>
      <c r="B18" s="11" t="s">
        <v>414</v>
      </c>
      <c r="C18" s="11" t="s">
        <v>62</v>
      </c>
      <c r="D18" s="51">
        <v>98</v>
      </c>
      <c r="E18" s="51">
        <v>83</v>
      </c>
      <c r="F18" s="51">
        <f t="shared" si="0"/>
        <v>15</v>
      </c>
      <c r="G18" s="51">
        <f t="shared" si="1"/>
        <v>18.072289156626507</v>
      </c>
      <c r="H18" s="82"/>
      <c r="I18" s="82"/>
      <c r="J18" s="18"/>
      <c r="K18" s="18"/>
      <c r="L18" s="18"/>
      <c r="M18" s="18"/>
      <c r="N18" s="18"/>
      <c r="O18" s="18"/>
      <c r="P18" s="18"/>
      <c r="Q18" s="18"/>
      <c r="R18" s="18"/>
      <c r="S18" s="18"/>
      <c r="T18" s="18"/>
      <c r="U18" s="18"/>
      <c r="V18" s="18"/>
      <c r="W18" s="18"/>
      <c r="X18" s="18"/>
      <c r="Y18" s="18"/>
      <c r="Z18" s="18"/>
      <c r="AA18" s="18"/>
    </row>
    <row r="19" spans="1:27" ht="31.5" customHeight="1" x14ac:dyDescent="0.25">
      <c r="A19" s="11" t="s">
        <v>415</v>
      </c>
      <c r="B19" s="11" t="s">
        <v>416</v>
      </c>
      <c r="C19" s="32" t="s">
        <v>89</v>
      </c>
      <c r="D19" s="51">
        <v>63</v>
      </c>
      <c r="E19" s="51">
        <v>87</v>
      </c>
      <c r="F19" s="51">
        <f t="shared" si="0"/>
        <v>-24</v>
      </c>
      <c r="G19" s="51">
        <f t="shared" si="1"/>
        <v>-27.586206896551722</v>
      </c>
      <c r="H19" s="82"/>
      <c r="I19" s="82"/>
      <c r="J19" s="18"/>
      <c r="K19" s="18"/>
      <c r="L19" s="18"/>
      <c r="M19" s="18"/>
      <c r="N19" s="18"/>
      <c r="O19" s="18"/>
      <c r="P19" s="18"/>
      <c r="Q19" s="18"/>
      <c r="R19" s="18"/>
      <c r="S19" s="18"/>
      <c r="T19" s="18"/>
      <c r="U19" s="18"/>
      <c r="V19" s="18"/>
      <c r="W19" s="18"/>
      <c r="X19" s="18"/>
      <c r="Y19" s="18"/>
      <c r="Z19" s="18"/>
      <c r="AA19" s="18"/>
    </row>
    <row r="20" spans="1:27" ht="31.5" customHeight="1" x14ac:dyDescent="0.25">
      <c r="A20" s="11" t="s">
        <v>417</v>
      </c>
      <c r="B20" s="11" t="s">
        <v>418</v>
      </c>
      <c r="C20" s="11" t="s">
        <v>62</v>
      </c>
      <c r="D20" s="51">
        <v>50</v>
      </c>
      <c r="E20" s="51">
        <v>43</v>
      </c>
      <c r="F20" s="51">
        <f t="shared" si="0"/>
        <v>7</v>
      </c>
      <c r="G20" s="51">
        <f t="shared" si="1"/>
        <v>16.279069767441861</v>
      </c>
      <c r="H20" s="82"/>
      <c r="I20" s="82"/>
      <c r="J20" s="18"/>
      <c r="K20" s="18"/>
      <c r="L20" s="18"/>
      <c r="M20" s="18"/>
      <c r="N20" s="18"/>
      <c r="O20" s="18"/>
      <c r="P20" s="18"/>
      <c r="Q20" s="18"/>
      <c r="R20" s="18"/>
      <c r="S20" s="18"/>
      <c r="T20" s="18"/>
      <c r="U20" s="18"/>
      <c r="V20" s="18"/>
      <c r="W20" s="18"/>
      <c r="X20" s="18"/>
      <c r="Y20" s="18"/>
      <c r="Z20" s="18"/>
      <c r="AA20" s="18"/>
    </row>
    <row r="21" spans="1:27" ht="31.5" customHeight="1" x14ac:dyDescent="0.25">
      <c r="A21" s="11" t="s">
        <v>419</v>
      </c>
      <c r="B21" s="11" t="s">
        <v>420</v>
      </c>
      <c r="C21" s="32" t="s">
        <v>89</v>
      </c>
      <c r="D21" s="51">
        <v>35</v>
      </c>
      <c r="E21" s="51">
        <v>22</v>
      </c>
      <c r="F21" s="51">
        <f t="shared" si="0"/>
        <v>13</v>
      </c>
      <c r="G21" s="51">
        <f t="shared" si="1"/>
        <v>59.090909090909093</v>
      </c>
      <c r="H21" s="82"/>
      <c r="I21" s="82"/>
      <c r="J21" s="18"/>
      <c r="K21" s="18"/>
      <c r="L21" s="18"/>
      <c r="M21" s="18"/>
      <c r="N21" s="18"/>
      <c r="O21" s="18"/>
      <c r="P21" s="18"/>
      <c r="Q21" s="18"/>
      <c r="R21" s="18"/>
      <c r="S21" s="18"/>
      <c r="T21" s="18"/>
      <c r="U21" s="18"/>
      <c r="V21" s="18"/>
      <c r="W21" s="18"/>
      <c r="X21" s="18"/>
      <c r="Y21" s="18"/>
      <c r="Z21" s="18"/>
      <c r="AA21" s="18"/>
    </row>
    <row r="22" spans="1:27" ht="31.5" customHeight="1" x14ac:dyDescent="0.25">
      <c r="A22" s="11" t="s">
        <v>421</v>
      </c>
      <c r="B22" s="11" t="s">
        <v>422</v>
      </c>
      <c r="C22" s="32" t="s">
        <v>89</v>
      </c>
      <c r="D22" s="51">
        <v>33</v>
      </c>
      <c r="E22" s="51">
        <v>31</v>
      </c>
      <c r="F22" s="51">
        <f t="shared" si="0"/>
        <v>2</v>
      </c>
      <c r="G22" s="51">
        <f t="shared" si="1"/>
        <v>6.4516129032258061</v>
      </c>
      <c r="H22" s="82"/>
      <c r="I22" s="82"/>
      <c r="J22" s="18"/>
      <c r="K22" s="18"/>
      <c r="L22" s="18"/>
      <c r="M22" s="18"/>
      <c r="N22" s="18"/>
      <c r="O22" s="18"/>
      <c r="P22" s="18"/>
      <c r="Q22" s="18"/>
      <c r="R22" s="18"/>
      <c r="S22" s="18"/>
      <c r="T22" s="18"/>
      <c r="U22" s="18"/>
      <c r="V22" s="18"/>
      <c r="W22" s="18"/>
      <c r="X22" s="18"/>
      <c r="Y22" s="18"/>
      <c r="Z22" s="18"/>
      <c r="AA22" s="18"/>
    </row>
    <row r="23" spans="1:27" ht="31.5" customHeight="1" x14ac:dyDescent="0.25">
      <c r="A23" s="11" t="s">
        <v>423</v>
      </c>
      <c r="B23" s="11" t="s">
        <v>424</v>
      </c>
      <c r="C23" s="32" t="s">
        <v>89</v>
      </c>
      <c r="D23" s="51">
        <v>31</v>
      </c>
      <c r="E23" s="51">
        <v>2</v>
      </c>
      <c r="F23" s="51">
        <f t="shared" si="0"/>
        <v>29</v>
      </c>
      <c r="G23" s="51">
        <f t="shared" si="1"/>
        <v>1450</v>
      </c>
      <c r="H23" s="82"/>
      <c r="I23" s="82"/>
      <c r="J23" s="18"/>
      <c r="K23" s="18"/>
      <c r="L23" s="18"/>
      <c r="M23" s="18"/>
      <c r="N23" s="18"/>
      <c r="O23" s="18"/>
      <c r="P23" s="18"/>
      <c r="Q23" s="18"/>
      <c r="R23" s="18"/>
      <c r="S23" s="18"/>
      <c r="T23" s="18"/>
      <c r="U23" s="18"/>
      <c r="V23" s="18"/>
      <c r="W23" s="18"/>
      <c r="X23" s="18"/>
      <c r="Y23" s="18"/>
      <c r="Z23" s="18"/>
      <c r="AA23" s="18"/>
    </row>
    <row r="24" spans="1:27" ht="31.5" customHeight="1" x14ac:dyDescent="0.25">
      <c r="A24" s="11" t="s">
        <v>425</v>
      </c>
      <c r="B24" s="11" t="s">
        <v>426</v>
      </c>
      <c r="C24" s="11" t="s">
        <v>62</v>
      </c>
      <c r="D24" s="51">
        <v>30</v>
      </c>
      <c r="E24" s="51">
        <v>35</v>
      </c>
      <c r="F24" s="51">
        <f t="shared" si="0"/>
        <v>-5</v>
      </c>
      <c r="G24" s="51">
        <f t="shared" si="1"/>
        <v>-14.285714285714285</v>
      </c>
      <c r="H24" s="82"/>
      <c r="I24" s="82"/>
      <c r="J24" s="18"/>
      <c r="K24" s="18"/>
      <c r="L24" s="18"/>
      <c r="M24" s="18"/>
      <c r="N24" s="18"/>
      <c r="O24" s="18"/>
      <c r="P24" s="18"/>
      <c r="Q24" s="18"/>
      <c r="R24" s="18"/>
      <c r="S24" s="18"/>
      <c r="T24" s="18"/>
      <c r="U24" s="18"/>
      <c r="V24" s="18"/>
      <c r="W24" s="18"/>
      <c r="X24" s="18"/>
      <c r="Y24" s="18"/>
      <c r="Z24" s="18"/>
      <c r="AA24" s="18"/>
    </row>
    <row r="25" spans="1:27" ht="31.5" customHeight="1" x14ac:dyDescent="0.25">
      <c r="A25" s="11" t="s">
        <v>427</v>
      </c>
      <c r="B25" s="11" t="s">
        <v>428</v>
      </c>
      <c r="C25" s="36" t="s">
        <v>97</v>
      </c>
      <c r="D25" s="51">
        <v>30</v>
      </c>
      <c r="E25" s="51">
        <v>25</v>
      </c>
      <c r="F25" s="51">
        <f t="shared" si="0"/>
        <v>5</v>
      </c>
      <c r="G25" s="51">
        <f t="shared" si="1"/>
        <v>20</v>
      </c>
      <c r="H25" s="82"/>
      <c r="I25" s="82"/>
      <c r="J25" s="18"/>
      <c r="K25" s="18"/>
      <c r="L25" s="18"/>
      <c r="M25" s="18"/>
      <c r="N25" s="18"/>
      <c r="O25" s="18"/>
      <c r="P25" s="18"/>
      <c r="Q25" s="18"/>
      <c r="R25" s="18"/>
      <c r="S25" s="18"/>
      <c r="T25" s="18"/>
      <c r="U25" s="18"/>
      <c r="V25" s="18"/>
      <c r="W25" s="18"/>
      <c r="X25" s="18"/>
      <c r="Y25" s="18"/>
      <c r="Z25" s="18"/>
      <c r="AA25" s="18"/>
    </row>
    <row r="26" spans="1:27" ht="31.5" customHeight="1" x14ac:dyDescent="0.25">
      <c r="A26" s="11" t="s">
        <v>429</v>
      </c>
      <c r="B26" s="11" t="s">
        <v>430</v>
      </c>
      <c r="C26" s="11" t="s">
        <v>62</v>
      </c>
      <c r="D26" s="51">
        <v>29</v>
      </c>
      <c r="E26" s="51">
        <v>38</v>
      </c>
      <c r="F26" s="51">
        <f t="shared" si="0"/>
        <v>-9</v>
      </c>
      <c r="G26" s="51">
        <f t="shared" si="1"/>
        <v>-23.684210526315788</v>
      </c>
      <c r="H26" s="82"/>
      <c r="I26" s="82"/>
      <c r="J26" s="18"/>
      <c r="K26" s="18"/>
      <c r="L26" s="18"/>
      <c r="M26" s="18"/>
      <c r="N26" s="18"/>
      <c r="O26" s="18"/>
      <c r="P26" s="18"/>
      <c r="Q26" s="18"/>
      <c r="R26" s="18"/>
      <c r="S26" s="18"/>
      <c r="T26" s="18"/>
      <c r="U26" s="18"/>
      <c r="V26" s="18"/>
      <c r="W26" s="18"/>
      <c r="X26" s="18"/>
      <c r="Y26" s="18"/>
      <c r="Z26" s="18"/>
      <c r="AA26" s="18"/>
    </row>
    <row r="27" spans="1:27" ht="31.5" customHeight="1" x14ac:dyDescent="0.25">
      <c r="A27" s="26" t="s">
        <v>431</v>
      </c>
      <c r="B27" s="26"/>
      <c r="C27" s="26"/>
      <c r="D27" s="19">
        <v>1162</v>
      </c>
      <c r="E27" s="19">
        <v>1275</v>
      </c>
      <c r="F27" s="19">
        <f t="shared" si="0"/>
        <v>-113</v>
      </c>
      <c r="G27" s="19">
        <f t="shared" si="1"/>
        <v>-8.8627450980392162</v>
      </c>
      <c r="H27" s="82"/>
      <c r="I27" s="82"/>
      <c r="J27" s="18"/>
      <c r="K27" s="18"/>
      <c r="L27" s="18"/>
      <c r="M27" s="18"/>
      <c r="N27" s="18"/>
      <c r="O27" s="18"/>
      <c r="P27" s="18"/>
      <c r="Q27" s="18"/>
      <c r="R27" s="18"/>
      <c r="S27" s="18"/>
      <c r="T27" s="18"/>
      <c r="U27" s="18"/>
      <c r="V27" s="18"/>
      <c r="W27" s="18"/>
      <c r="X27" s="18"/>
      <c r="Y27" s="18"/>
      <c r="Z27" s="18"/>
      <c r="AA27" s="18"/>
    </row>
    <row r="28" spans="1:27" ht="31.5" customHeight="1" x14ac:dyDescent="0.25">
      <c r="A28" s="26" t="s">
        <v>432</v>
      </c>
      <c r="B28" s="26"/>
      <c r="C28" s="26"/>
      <c r="D28" s="19">
        <v>1904</v>
      </c>
      <c r="E28" s="19">
        <v>2022</v>
      </c>
      <c r="F28" s="19">
        <f t="shared" si="0"/>
        <v>-118</v>
      </c>
      <c r="G28" s="19">
        <f t="shared" si="1"/>
        <v>-5.8358061325420376</v>
      </c>
      <c r="H28" s="82"/>
      <c r="I28" s="82"/>
      <c r="J28" s="18"/>
      <c r="K28" s="18"/>
      <c r="L28" s="18"/>
      <c r="M28" s="18"/>
      <c r="N28" s="18"/>
      <c r="O28" s="18"/>
      <c r="P28" s="18"/>
      <c r="Q28" s="18"/>
      <c r="R28" s="18"/>
      <c r="S28" s="18"/>
      <c r="T28" s="18"/>
      <c r="U28" s="18"/>
      <c r="V28" s="18"/>
      <c r="W28" s="18"/>
      <c r="X28" s="18"/>
      <c r="Y28" s="18"/>
      <c r="Z28" s="18"/>
      <c r="AA28" s="18"/>
    </row>
    <row r="29" spans="1:27" ht="31.5" customHeight="1" x14ac:dyDescent="0.25">
      <c r="A29" s="26" t="s">
        <v>433</v>
      </c>
      <c r="B29" s="26"/>
      <c r="C29" s="26"/>
      <c r="D29" s="19">
        <v>553</v>
      </c>
      <c r="E29" s="19">
        <v>565</v>
      </c>
      <c r="F29" s="19">
        <f t="shared" si="0"/>
        <v>-12</v>
      </c>
      <c r="G29" s="19">
        <f t="shared" si="1"/>
        <v>-2.1238938053097343</v>
      </c>
      <c r="H29" s="82"/>
      <c r="I29" s="82"/>
      <c r="J29" s="18"/>
      <c r="K29" s="18"/>
      <c r="L29" s="18"/>
      <c r="M29" s="18"/>
      <c r="N29" s="18"/>
      <c r="O29" s="18"/>
      <c r="P29" s="18"/>
      <c r="Q29" s="18"/>
      <c r="R29" s="18"/>
      <c r="S29" s="18"/>
      <c r="T29" s="18"/>
      <c r="U29" s="18"/>
      <c r="V29" s="18"/>
      <c r="W29" s="18"/>
      <c r="X29" s="18"/>
      <c r="Y29" s="18"/>
      <c r="Z29" s="18"/>
      <c r="AA29" s="18"/>
    </row>
    <row r="30" spans="1:27" ht="31.5" customHeight="1" x14ac:dyDescent="0.25">
      <c r="A30" s="26" t="s">
        <v>101</v>
      </c>
      <c r="B30" s="26"/>
      <c r="C30" s="26"/>
      <c r="D30" s="19">
        <v>8027</v>
      </c>
      <c r="E30" s="19">
        <v>8601</v>
      </c>
      <c r="F30" s="19">
        <f t="shared" si="0"/>
        <v>-574</v>
      </c>
      <c r="G30" s="19">
        <f t="shared" si="1"/>
        <v>-6.6736425996977102</v>
      </c>
      <c r="H30" s="82"/>
      <c r="I30" s="82"/>
      <c r="J30" s="83"/>
      <c r="K30" s="83"/>
      <c r="L30" s="83"/>
      <c r="M30" s="83"/>
      <c r="N30" s="83"/>
      <c r="O30" s="84"/>
      <c r="P30" s="85"/>
      <c r="Q30" s="85"/>
      <c r="R30" s="85"/>
      <c r="S30" s="85"/>
      <c r="T30" s="85"/>
      <c r="U30" s="85"/>
      <c r="V30" s="85"/>
      <c r="W30" s="85"/>
      <c r="X30" s="85"/>
      <c r="Y30" s="85"/>
      <c r="Z30" s="85"/>
      <c r="AA30" s="85"/>
    </row>
  </sheetData>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A5DB0"/>
  </sheetPr>
  <dimension ref="A1:Z7"/>
  <sheetViews>
    <sheetView workbookViewId="0">
      <pane ySplit="1" topLeftCell="A2" activePane="bottomLeft" state="frozen"/>
      <selection pane="bottomLeft"/>
    </sheetView>
  </sheetViews>
  <sheetFormatPr defaultColWidth="14.44140625" defaultRowHeight="15.75" customHeight="1" x14ac:dyDescent="0.25"/>
  <cols>
    <col min="1" max="1" width="41.88671875" customWidth="1"/>
    <col min="2" max="2" width="16.6640625" customWidth="1"/>
    <col min="3" max="5" width="23" customWidth="1"/>
    <col min="6" max="6" width="15.6640625" customWidth="1"/>
    <col min="7" max="7" width="15.109375" customWidth="1"/>
    <col min="8" max="26" width="9.109375" customWidth="1"/>
  </cols>
  <sheetData>
    <row r="1" spans="1:26" ht="34.5" customHeight="1" x14ac:dyDescent="0.3">
      <c r="A1" s="46" t="s">
        <v>1710</v>
      </c>
      <c r="B1" s="47" t="s">
        <v>10</v>
      </c>
      <c r="C1" s="47" t="s">
        <v>11</v>
      </c>
      <c r="D1" s="9" t="s">
        <v>1687</v>
      </c>
      <c r="E1" s="48" t="s">
        <v>1688</v>
      </c>
      <c r="F1" s="47" t="s">
        <v>1682</v>
      </c>
      <c r="G1" s="48" t="s">
        <v>1683</v>
      </c>
      <c r="H1" s="86"/>
      <c r="I1" s="86"/>
      <c r="J1" s="86"/>
      <c r="K1" s="69"/>
      <c r="L1" s="69"/>
      <c r="M1" s="69"/>
      <c r="N1" s="69"/>
      <c r="O1" s="69"/>
      <c r="P1" s="69"/>
      <c r="Q1" s="69"/>
      <c r="R1" s="69"/>
      <c r="S1" s="69"/>
      <c r="T1" s="69"/>
      <c r="U1" s="69"/>
      <c r="V1" s="69"/>
      <c r="W1" s="69"/>
      <c r="X1" s="69"/>
      <c r="Y1" s="69"/>
      <c r="Z1" s="69"/>
    </row>
    <row r="2" spans="1:26" ht="28.5" customHeight="1" x14ac:dyDescent="0.3">
      <c r="A2" s="11" t="s">
        <v>1711</v>
      </c>
      <c r="B2" s="11" t="s">
        <v>1712</v>
      </c>
      <c r="C2" s="11" t="s">
        <v>239</v>
      </c>
      <c r="D2" s="51">
        <v>628</v>
      </c>
      <c r="E2" s="51">
        <v>0</v>
      </c>
      <c r="F2" s="25">
        <f t="shared" ref="F2:F7" si="0">D2-E2</f>
        <v>628</v>
      </c>
      <c r="G2" s="25" t="s">
        <v>308</v>
      </c>
      <c r="H2" s="87"/>
      <c r="I2" s="87"/>
      <c r="J2" s="87"/>
      <c r="K2" s="18"/>
      <c r="L2" s="87"/>
      <c r="M2" s="87"/>
      <c r="N2" s="87"/>
      <c r="O2" s="87"/>
      <c r="P2" s="87"/>
      <c r="Q2" s="87"/>
      <c r="R2" s="87"/>
      <c r="S2" s="87"/>
      <c r="T2" s="87"/>
      <c r="U2" s="87"/>
      <c r="V2" s="87"/>
      <c r="W2" s="87"/>
      <c r="X2" s="87"/>
      <c r="Y2" s="87"/>
      <c r="Z2" s="87"/>
    </row>
    <row r="3" spans="1:26" ht="28.5" customHeight="1" x14ac:dyDescent="0.3">
      <c r="A3" s="11" t="s">
        <v>309</v>
      </c>
      <c r="B3" s="11" t="s">
        <v>310</v>
      </c>
      <c r="C3" s="11" t="s">
        <v>239</v>
      </c>
      <c r="D3" s="51">
        <v>455</v>
      </c>
      <c r="E3" s="51">
        <v>0</v>
      </c>
      <c r="F3" s="25">
        <f t="shared" si="0"/>
        <v>455</v>
      </c>
      <c r="G3" s="25" t="s">
        <v>308</v>
      </c>
      <c r="H3" s="87"/>
      <c r="I3" s="87"/>
      <c r="J3" s="87"/>
      <c r="K3" s="18"/>
      <c r="L3" s="18"/>
      <c r="M3" s="18"/>
      <c r="N3" s="18"/>
      <c r="O3" s="18"/>
      <c r="P3" s="18"/>
      <c r="Q3" s="18"/>
      <c r="R3" s="18"/>
      <c r="S3" s="18"/>
      <c r="T3" s="18"/>
      <c r="U3" s="18"/>
      <c r="V3" s="18"/>
      <c r="W3" s="18"/>
      <c r="X3" s="18"/>
      <c r="Y3" s="18"/>
      <c r="Z3" s="18"/>
    </row>
    <row r="4" spans="1:26" ht="28.5" customHeight="1" x14ac:dyDescent="0.3">
      <c r="A4" s="11" t="s">
        <v>311</v>
      </c>
      <c r="B4" s="11" t="s">
        <v>312</v>
      </c>
      <c r="C4" s="11" t="s">
        <v>239</v>
      </c>
      <c r="D4" s="51">
        <v>541</v>
      </c>
      <c r="E4" s="51">
        <v>324</v>
      </c>
      <c r="F4" s="25">
        <f t="shared" si="0"/>
        <v>217</v>
      </c>
      <c r="G4" s="25">
        <f>(F4/E4)*100</f>
        <v>66.975308641975303</v>
      </c>
      <c r="H4" s="87"/>
      <c r="I4" s="87"/>
      <c r="J4" s="87"/>
      <c r="K4" s="18"/>
      <c r="L4" s="87"/>
      <c r="M4" s="87"/>
      <c r="N4" s="87"/>
      <c r="O4" s="87"/>
      <c r="P4" s="87"/>
      <c r="Q4" s="87"/>
      <c r="R4" s="87"/>
      <c r="S4" s="87"/>
      <c r="T4" s="87"/>
      <c r="U4" s="87"/>
      <c r="V4" s="87"/>
      <c r="W4" s="87"/>
      <c r="X4" s="87"/>
      <c r="Y4" s="87"/>
      <c r="Z4" s="87"/>
    </row>
    <row r="5" spans="1:26" ht="28.5" customHeight="1" x14ac:dyDescent="0.3">
      <c r="A5" s="11" t="s">
        <v>313</v>
      </c>
      <c r="B5" s="11"/>
      <c r="C5" s="11"/>
      <c r="D5" s="51">
        <v>67</v>
      </c>
      <c r="E5" s="51">
        <v>0</v>
      </c>
      <c r="F5" s="25">
        <f t="shared" si="0"/>
        <v>67</v>
      </c>
      <c r="G5" s="88">
        <v>100</v>
      </c>
      <c r="H5" s="87"/>
      <c r="I5" s="87"/>
      <c r="J5" s="87"/>
      <c r="K5" s="18"/>
      <c r="L5" s="87"/>
      <c r="M5" s="87"/>
      <c r="N5" s="87"/>
      <c r="O5" s="87"/>
      <c r="P5" s="87"/>
      <c r="Q5" s="87"/>
      <c r="R5" s="87"/>
      <c r="S5" s="87"/>
      <c r="T5" s="87"/>
      <c r="U5" s="87"/>
      <c r="V5" s="87"/>
      <c r="W5" s="87"/>
      <c r="X5" s="87"/>
      <c r="Y5" s="87"/>
      <c r="Z5" s="87"/>
    </row>
    <row r="6" spans="1:26" ht="28.5" customHeight="1" x14ac:dyDescent="0.3">
      <c r="A6" s="11" t="s">
        <v>314</v>
      </c>
      <c r="B6" s="11"/>
      <c r="C6" s="11"/>
      <c r="D6" s="51">
        <v>162</v>
      </c>
      <c r="E6" s="51">
        <v>338</v>
      </c>
      <c r="F6" s="25">
        <f t="shared" si="0"/>
        <v>-176</v>
      </c>
      <c r="G6" s="25">
        <f t="shared" ref="G6:G7" si="1">(F6/E6)*100</f>
        <v>-52.071005917159766</v>
      </c>
      <c r="H6" s="87"/>
      <c r="I6" s="87"/>
      <c r="J6" s="87"/>
      <c r="K6" s="18"/>
      <c r="L6" s="18"/>
      <c r="M6" s="18"/>
      <c r="N6" s="18"/>
      <c r="O6" s="18"/>
      <c r="P6" s="18"/>
      <c r="Q6" s="18"/>
      <c r="R6" s="18"/>
      <c r="S6" s="18"/>
      <c r="T6" s="18"/>
      <c r="U6" s="18"/>
      <c r="V6" s="18"/>
      <c r="W6" s="18"/>
      <c r="X6" s="18"/>
      <c r="Y6" s="18"/>
      <c r="Z6" s="18"/>
    </row>
    <row r="7" spans="1:26" ht="28.5" customHeight="1" x14ac:dyDescent="0.3">
      <c r="A7" s="26" t="s">
        <v>101</v>
      </c>
      <c r="B7" s="26"/>
      <c r="C7" s="26"/>
      <c r="D7" s="19">
        <v>1852</v>
      </c>
      <c r="E7" s="19">
        <v>662</v>
      </c>
      <c r="F7" s="22">
        <f t="shared" si="0"/>
        <v>1190</v>
      </c>
      <c r="G7" s="22">
        <f t="shared" si="1"/>
        <v>179.75830815709969</v>
      </c>
      <c r="H7" s="87"/>
      <c r="I7" s="87"/>
      <c r="J7" s="87"/>
      <c r="K7" s="18"/>
      <c r="L7" s="87"/>
      <c r="M7" s="87"/>
      <c r="N7" s="87"/>
      <c r="O7" s="87"/>
      <c r="P7" s="87"/>
      <c r="Q7" s="87"/>
      <c r="R7" s="87"/>
      <c r="S7" s="87"/>
      <c r="T7" s="87"/>
      <c r="U7" s="87"/>
      <c r="V7" s="87"/>
      <c r="W7" s="87"/>
      <c r="X7" s="87"/>
      <c r="Y7" s="87"/>
      <c r="Z7" s="87"/>
    </row>
  </sheetData>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2A5DB0"/>
  </sheetPr>
  <dimension ref="A1:Z9"/>
  <sheetViews>
    <sheetView workbookViewId="0">
      <pane ySplit="1" topLeftCell="A2" activePane="bottomLeft" state="frozen"/>
      <selection pane="bottomLeft"/>
    </sheetView>
  </sheetViews>
  <sheetFormatPr defaultColWidth="14.44140625" defaultRowHeight="15.75" customHeight="1" x14ac:dyDescent="0.25"/>
  <cols>
    <col min="1" max="1" width="36.6640625" customWidth="1"/>
    <col min="2" max="2" width="35.6640625" customWidth="1"/>
    <col min="3" max="4" width="19.5546875" customWidth="1"/>
    <col min="5" max="5" width="15.6640625" customWidth="1"/>
    <col min="6" max="6" width="13.88671875" customWidth="1"/>
    <col min="7" max="26" width="9.109375" customWidth="1"/>
  </cols>
  <sheetData>
    <row r="1" spans="1:26" ht="34.5" customHeight="1" x14ac:dyDescent="0.25">
      <c r="A1" s="46" t="s">
        <v>1713</v>
      </c>
      <c r="B1" s="47" t="s">
        <v>11</v>
      </c>
      <c r="C1" s="9" t="s">
        <v>1687</v>
      </c>
      <c r="D1" s="48" t="s">
        <v>1688</v>
      </c>
      <c r="E1" s="48" t="s">
        <v>1682</v>
      </c>
      <c r="F1" s="48" t="s">
        <v>1683</v>
      </c>
      <c r="G1" s="89"/>
      <c r="H1" s="89"/>
      <c r="I1" s="89"/>
      <c r="J1" s="89"/>
      <c r="K1" s="89"/>
      <c r="L1" s="89"/>
      <c r="M1" s="89"/>
      <c r="N1" s="89"/>
      <c r="O1" s="89"/>
      <c r="P1" s="89"/>
      <c r="Q1" s="89"/>
      <c r="R1" s="89"/>
      <c r="S1" s="89"/>
      <c r="T1" s="89"/>
      <c r="U1" s="89"/>
      <c r="V1" s="89"/>
      <c r="W1" s="89"/>
      <c r="X1" s="89"/>
      <c r="Y1" s="89"/>
      <c r="Z1" s="89"/>
    </row>
    <row r="2" spans="1:26" ht="28.5" customHeight="1" x14ac:dyDescent="0.25">
      <c r="A2" s="49" t="s">
        <v>1714</v>
      </c>
      <c r="B2" s="49" t="s">
        <v>258</v>
      </c>
      <c r="C2" s="50">
        <v>3757</v>
      </c>
      <c r="D2" s="50">
        <v>3639</v>
      </c>
      <c r="E2" s="50">
        <f t="shared" ref="E2:E9" si="0">C2-D2</f>
        <v>118</v>
      </c>
      <c r="F2" s="50">
        <f t="shared" ref="F2:F9" si="1">(E2/D2)*100</f>
        <v>3.2426490794174221</v>
      </c>
      <c r="G2" s="90"/>
      <c r="H2" s="89"/>
      <c r="I2" s="91"/>
      <c r="J2" s="89"/>
      <c r="K2" s="89"/>
      <c r="L2" s="89"/>
      <c r="M2" s="89"/>
      <c r="N2" s="89"/>
      <c r="O2" s="89"/>
      <c r="P2" s="89"/>
      <c r="Q2" s="89"/>
      <c r="R2" s="89"/>
      <c r="S2" s="89"/>
      <c r="T2" s="89"/>
      <c r="U2" s="89"/>
      <c r="V2" s="89"/>
      <c r="W2" s="89"/>
      <c r="X2" s="89"/>
      <c r="Y2" s="89"/>
      <c r="Z2" s="89"/>
    </row>
    <row r="3" spans="1:26" ht="28.5" customHeight="1" x14ac:dyDescent="0.25">
      <c r="A3" s="49" t="s">
        <v>300</v>
      </c>
      <c r="B3" s="49"/>
      <c r="C3" s="50">
        <v>2735</v>
      </c>
      <c r="D3" s="50">
        <v>2799</v>
      </c>
      <c r="E3" s="50">
        <f t="shared" si="0"/>
        <v>-64</v>
      </c>
      <c r="F3" s="50">
        <f t="shared" si="1"/>
        <v>-2.2865309038942478</v>
      </c>
      <c r="G3" s="90"/>
      <c r="H3" s="89"/>
      <c r="I3" s="91"/>
      <c r="J3" s="89"/>
      <c r="K3" s="89"/>
      <c r="L3" s="89"/>
      <c r="M3" s="89"/>
      <c r="N3" s="89"/>
      <c r="O3" s="89"/>
      <c r="P3" s="89"/>
      <c r="Q3" s="89"/>
      <c r="R3" s="89"/>
      <c r="S3" s="89"/>
      <c r="T3" s="89"/>
      <c r="U3" s="89"/>
      <c r="V3" s="89"/>
      <c r="W3" s="89"/>
      <c r="X3" s="89"/>
      <c r="Y3" s="89"/>
      <c r="Z3" s="89"/>
    </row>
    <row r="4" spans="1:26" ht="28.5" customHeight="1" x14ac:dyDescent="0.25">
      <c r="A4" s="49" t="s">
        <v>301</v>
      </c>
      <c r="B4" s="49"/>
      <c r="C4" s="50">
        <v>2123</v>
      </c>
      <c r="D4" s="50">
        <v>2155</v>
      </c>
      <c r="E4" s="50">
        <f t="shared" si="0"/>
        <v>-32</v>
      </c>
      <c r="F4" s="50">
        <f t="shared" si="1"/>
        <v>-1.4849187935034802</v>
      </c>
      <c r="G4" s="90"/>
      <c r="H4" s="89"/>
      <c r="I4" s="91"/>
      <c r="J4" s="89"/>
      <c r="K4" s="89"/>
      <c r="L4" s="89"/>
      <c r="M4" s="89"/>
      <c r="N4" s="89"/>
      <c r="O4" s="89"/>
      <c r="P4" s="89"/>
      <c r="Q4" s="89"/>
      <c r="R4" s="89"/>
      <c r="S4" s="89"/>
      <c r="T4" s="89"/>
      <c r="U4" s="89"/>
      <c r="V4" s="89"/>
      <c r="W4" s="89"/>
      <c r="X4" s="89"/>
      <c r="Y4" s="89"/>
      <c r="Z4" s="89"/>
    </row>
    <row r="5" spans="1:26" ht="28.5" customHeight="1" x14ac:dyDescent="0.25">
      <c r="A5" s="49" t="s">
        <v>302</v>
      </c>
      <c r="B5" s="49" t="s">
        <v>303</v>
      </c>
      <c r="C5" s="50">
        <v>922</v>
      </c>
      <c r="D5" s="50">
        <v>872</v>
      </c>
      <c r="E5" s="50">
        <f t="shared" si="0"/>
        <v>50</v>
      </c>
      <c r="F5" s="50">
        <f t="shared" si="1"/>
        <v>5.7339449541284404</v>
      </c>
      <c r="G5" s="90"/>
      <c r="H5" s="89"/>
      <c r="I5" s="91"/>
      <c r="J5" s="89"/>
      <c r="K5" s="89"/>
      <c r="L5" s="89"/>
      <c r="M5" s="89"/>
      <c r="N5" s="89"/>
      <c r="O5" s="89"/>
      <c r="P5" s="89"/>
      <c r="Q5" s="89"/>
      <c r="R5" s="89"/>
      <c r="S5" s="89"/>
      <c r="T5" s="89"/>
      <c r="U5" s="89"/>
      <c r="V5" s="89"/>
      <c r="W5" s="89"/>
      <c r="X5" s="89"/>
      <c r="Y5" s="89"/>
      <c r="Z5" s="89"/>
    </row>
    <row r="6" spans="1:26" ht="28.5" customHeight="1" x14ac:dyDescent="0.25">
      <c r="A6" s="49" t="s">
        <v>304</v>
      </c>
      <c r="B6" s="49"/>
      <c r="C6" s="50">
        <v>888</v>
      </c>
      <c r="D6" s="50">
        <v>877</v>
      </c>
      <c r="E6" s="50">
        <f t="shared" si="0"/>
        <v>11</v>
      </c>
      <c r="F6" s="50">
        <f t="shared" si="1"/>
        <v>1.2542759407069555</v>
      </c>
      <c r="G6" s="90"/>
      <c r="H6" s="89"/>
      <c r="I6" s="91"/>
      <c r="J6" s="89"/>
      <c r="K6" s="89"/>
      <c r="L6" s="89"/>
      <c r="M6" s="89"/>
      <c r="N6" s="89"/>
      <c r="O6" s="89"/>
      <c r="P6" s="89"/>
      <c r="Q6" s="89"/>
      <c r="R6" s="89"/>
      <c r="S6" s="89"/>
      <c r="T6" s="89"/>
      <c r="U6" s="89"/>
      <c r="V6" s="89"/>
      <c r="W6" s="89"/>
      <c r="X6" s="89"/>
      <c r="Y6" s="89"/>
      <c r="Z6" s="89"/>
    </row>
    <row r="7" spans="1:26" ht="28.5" customHeight="1" x14ac:dyDescent="0.25">
      <c r="A7" s="11" t="s">
        <v>305</v>
      </c>
      <c r="B7" s="11"/>
      <c r="C7" s="51">
        <v>740</v>
      </c>
      <c r="D7" s="51">
        <v>535</v>
      </c>
      <c r="E7" s="50">
        <f t="shared" si="0"/>
        <v>205</v>
      </c>
      <c r="F7" s="50">
        <f t="shared" si="1"/>
        <v>38.31775700934579</v>
      </c>
      <c r="G7" s="90"/>
      <c r="H7" s="89"/>
      <c r="I7" s="91"/>
      <c r="J7" s="89"/>
      <c r="K7" s="89"/>
      <c r="L7" s="89"/>
      <c r="M7" s="89"/>
      <c r="N7" s="89"/>
      <c r="O7" s="89"/>
      <c r="P7" s="89"/>
      <c r="Q7" s="89"/>
      <c r="R7" s="89"/>
      <c r="S7" s="89"/>
      <c r="T7" s="89"/>
      <c r="U7" s="89"/>
      <c r="V7" s="89"/>
      <c r="W7" s="89"/>
      <c r="X7" s="89"/>
      <c r="Y7" s="89"/>
      <c r="Z7" s="89"/>
    </row>
    <row r="8" spans="1:26" ht="28.5" customHeight="1" x14ac:dyDescent="0.25">
      <c r="A8" s="49" t="s">
        <v>23</v>
      </c>
      <c r="B8" s="49"/>
      <c r="C8" s="50">
        <v>508</v>
      </c>
      <c r="D8" s="50">
        <v>485</v>
      </c>
      <c r="E8" s="50">
        <f t="shared" si="0"/>
        <v>23</v>
      </c>
      <c r="F8" s="50">
        <f t="shared" si="1"/>
        <v>4.7422680412371134</v>
      </c>
      <c r="G8" s="90"/>
      <c r="H8" s="89"/>
      <c r="I8" s="91"/>
      <c r="J8" s="89"/>
      <c r="K8" s="89"/>
      <c r="L8" s="89"/>
      <c r="M8" s="89"/>
      <c r="N8" s="89"/>
      <c r="O8" s="89"/>
      <c r="P8" s="89"/>
      <c r="Q8" s="89"/>
      <c r="R8" s="89"/>
      <c r="S8" s="89"/>
      <c r="T8" s="89"/>
      <c r="U8" s="89"/>
      <c r="V8" s="89"/>
      <c r="W8" s="89"/>
      <c r="X8" s="89"/>
      <c r="Y8" s="89"/>
      <c r="Z8" s="89"/>
    </row>
    <row r="9" spans="1:26" ht="28.5" customHeight="1" x14ac:dyDescent="0.25">
      <c r="A9" s="26" t="s">
        <v>248</v>
      </c>
      <c r="B9" s="26"/>
      <c r="C9" s="19">
        <v>11673</v>
      </c>
      <c r="D9" s="19">
        <v>11362</v>
      </c>
      <c r="E9" s="92">
        <f t="shared" si="0"/>
        <v>311</v>
      </c>
      <c r="F9" s="92">
        <f t="shared" si="1"/>
        <v>2.7371941559584578</v>
      </c>
      <c r="G9" s="90"/>
      <c r="H9" s="89"/>
      <c r="I9" s="91"/>
      <c r="J9" s="89"/>
      <c r="K9" s="89"/>
      <c r="L9" s="89"/>
      <c r="M9" s="89"/>
      <c r="N9" s="89"/>
      <c r="O9" s="89"/>
      <c r="P9" s="89"/>
      <c r="Q9" s="89"/>
      <c r="R9" s="89"/>
      <c r="S9" s="89"/>
      <c r="T9" s="89"/>
      <c r="U9" s="89"/>
      <c r="V9" s="89"/>
      <c r="W9" s="89"/>
      <c r="X9" s="89"/>
      <c r="Y9" s="89"/>
      <c r="Z9" s="89"/>
    </row>
  </sheetData>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2A5DB0"/>
  </sheetPr>
  <dimension ref="A1:Z23"/>
  <sheetViews>
    <sheetView workbookViewId="0">
      <pane ySplit="1" topLeftCell="A2" activePane="bottomLeft" state="frozen"/>
      <selection pane="bottomLeft"/>
    </sheetView>
  </sheetViews>
  <sheetFormatPr defaultColWidth="14.44140625" defaultRowHeight="15.75" customHeight="1" x14ac:dyDescent="0.25"/>
  <cols>
    <col min="1" max="1" width="31" customWidth="1"/>
    <col min="2" max="3" width="27.33203125" customWidth="1"/>
    <col min="4" max="5" width="21.44140625" customWidth="1"/>
    <col min="6" max="7" width="20.6640625" customWidth="1"/>
    <col min="8" max="26" width="27.33203125" customWidth="1"/>
  </cols>
  <sheetData>
    <row r="1" spans="1:26" ht="34.5" customHeight="1" x14ac:dyDescent="0.25">
      <c r="A1" s="46" t="s">
        <v>1715</v>
      </c>
      <c r="B1" s="47" t="s">
        <v>10</v>
      </c>
      <c r="C1" s="47" t="s">
        <v>11</v>
      </c>
      <c r="D1" s="9" t="s">
        <v>1687</v>
      </c>
      <c r="E1" s="48" t="s">
        <v>1688</v>
      </c>
      <c r="F1" s="48" t="s">
        <v>1682</v>
      </c>
      <c r="G1" s="48" t="s">
        <v>1683</v>
      </c>
      <c r="H1" s="93"/>
      <c r="I1" s="93"/>
      <c r="J1" s="93"/>
      <c r="K1" s="93"/>
      <c r="L1" s="93"/>
      <c r="M1" s="93"/>
      <c r="N1" s="93"/>
      <c r="O1" s="93"/>
      <c r="P1" s="93"/>
      <c r="Q1" s="93"/>
      <c r="R1" s="93"/>
      <c r="S1" s="93"/>
      <c r="T1" s="93"/>
      <c r="U1" s="93"/>
      <c r="V1" s="93"/>
      <c r="W1" s="93"/>
      <c r="X1" s="93"/>
      <c r="Y1" s="93"/>
      <c r="Z1" s="93"/>
    </row>
    <row r="2" spans="1:26" ht="28.5" customHeight="1" x14ac:dyDescent="0.25">
      <c r="A2" s="11" t="s">
        <v>879</v>
      </c>
      <c r="B2" s="11" t="s">
        <v>880</v>
      </c>
      <c r="C2" s="11" t="s">
        <v>129</v>
      </c>
      <c r="D2" s="51">
        <v>4515</v>
      </c>
      <c r="E2" s="51">
        <v>4126</v>
      </c>
      <c r="F2" s="51">
        <f t="shared" ref="F2:F23" si="0">D2-E2</f>
        <v>389</v>
      </c>
      <c r="G2" s="51">
        <f t="shared" ref="G2:G23" si="1">(F2/E2)*100</f>
        <v>9.4280174503150747</v>
      </c>
      <c r="H2" s="94"/>
      <c r="I2" s="18"/>
      <c r="J2" s="18"/>
      <c r="K2" s="18"/>
      <c r="L2" s="18"/>
      <c r="M2" s="18"/>
      <c r="N2" s="18"/>
      <c r="O2" s="18"/>
      <c r="P2" s="18"/>
      <c r="Q2" s="18"/>
      <c r="R2" s="18"/>
      <c r="S2" s="18"/>
      <c r="T2" s="18"/>
      <c r="U2" s="18"/>
      <c r="V2" s="18"/>
      <c r="W2" s="18"/>
      <c r="X2" s="18"/>
      <c r="Y2" s="18"/>
      <c r="Z2" s="18"/>
    </row>
    <row r="3" spans="1:26" ht="28.5" customHeight="1" x14ac:dyDescent="0.25">
      <c r="A3" s="11" t="s">
        <v>317</v>
      </c>
      <c r="B3" s="11" t="s">
        <v>318</v>
      </c>
      <c r="C3" s="11" t="s">
        <v>72</v>
      </c>
      <c r="D3" s="51">
        <v>2468</v>
      </c>
      <c r="E3" s="51">
        <v>2494</v>
      </c>
      <c r="F3" s="51">
        <f t="shared" si="0"/>
        <v>-26</v>
      </c>
      <c r="G3" s="51">
        <f t="shared" si="1"/>
        <v>-1.0425020048115476</v>
      </c>
      <c r="H3" s="94"/>
      <c r="I3" s="18"/>
      <c r="J3" s="18"/>
      <c r="K3" s="18"/>
      <c r="L3" s="18"/>
      <c r="M3" s="18"/>
      <c r="N3" s="18"/>
      <c r="O3" s="18"/>
      <c r="P3" s="18"/>
      <c r="Q3" s="18"/>
      <c r="R3" s="18"/>
      <c r="S3" s="18"/>
      <c r="T3" s="18"/>
      <c r="U3" s="18"/>
      <c r="V3" s="18"/>
      <c r="W3" s="18"/>
      <c r="X3" s="18"/>
      <c r="Y3" s="18"/>
      <c r="Z3" s="18"/>
    </row>
    <row r="4" spans="1:26" ht="28.5" customHeight="1" x14ac:dyDescent="0.25">
      <c r="A4" s="24" t="s">
        <v>319</v>
      </c>
      <c r="B4" s="11" t="s">
        <v>320</v>
      </c>
      <c r="C4" s="11" t="s">
        <v>81</v>
      </c>
      <c r="D4" s="51">
        <v>1081</v>
      </c>
      <c r="E4" s="51">
        <v>1223</v>
      </c>
      <c r="F4" s="51">
        <f t="shared" si="0"/>
        <v>-142</v>
      </c>
      <c r="G4" s="51">
        <f t="shared" si="1"/>
        <v>-11.610793131643501</v>
      </c>
      <c r="H4" s="94"/>
      <c r="I4" s="18"/>
      <c r="J4" s="18"/>
      <c r="K4" s="18"/>
      <c r="L4" s="18"/>
      <c r="M4" s="18"/>
      <c r="N4" s="18"/>
      <c r="O4" s="18"/>
      <c r="P4" s="18"/>
      <c r="Q4" s="18"/>
      <c r="R4" s="18"/>
      <c r="S4" s="18"/>
      <c r="T4" s="18"/>
      <c r="U4" s="18"/>
      <c r="V4" s="18"/>
      <c r="W4" s="18"/>
      <c r="X4" s="18"/>
      <c r="Y4" s="18"/>
      <c r="Z4" s="18"/>
    </row>
    <row r="5" spans="1:26" ht="28.5" customHeight="1" x14ac:dyDescent="0.25">
      <c r="A5" s="11" t="s">
        <v>321</v>
      </c>
      <c r="B5" s="11" t="s">
        <v>322</v>
      </c>
      <c r="C5" s="11" t="s">
        <v>92</v>
      </c>
      <c r="D5" s="51">
        <v>851</v>
      </c>
      <c r="E5" s="51">
        <v>882</v>
      </c>
      <c r="F5" s="51">
        <f t="shared" si="0"/>
        <v>-31</v>
      </c>
      <c r="G5" s="51">
        <f t="shared" si="1"/>
        <v>-3.5147392290249435</v>
      </c>
      <c r="H5" s="94"/>
      <c r="I5" s="18"/>
      <c r="J5" s="18"/>
      <c r="K5" s="18"/>
      <c r="L5" s="18"/>
      <c r="M5" s="18"/>
      <c r="N5" s="18"/>
      <c r="O5" s="18"/>
      <c r="P5" s="18"/>
      <c r="Q5" s="18"/>
      <c r="R5" s="18"/>
      <c r="S5" s="18"/>
      <c r="T5" s="18"/>
      <c r="U5" s="18"/>
      <c r="V5" s="18"/>
      <c r="W5" s="18"/>
      <c r="X5" s="18"/>
      <c r="Y5" s="18"/>
      <c r="Z5" s="18"/>
    </row>
    <row r="6" spans="1:26" ht="28.5" customHeight="1" x14ac:dyDescent="0.25">
      <c r="A6" s="11" t="s">
        <v>323</v>
      </c>
      <c r="B6" s="11" t="s">
        <v>324</v>
      </c>
      <c r="C6" s="11" t="s">
        <v>81</v>
      </c>
      <c r="D6" s="51">
        <v>670</v>
      </c>
      <c r="E6" s="51">
        <v>681</v>
      </c>
      <c r="F6" s="51">
        <f t="shared" si="0"/>
        <v>-11</v>
      </c>
      <c r="G6" s="51">
        <f t="shared" si="1"/>
        <v>-1.6152716593245229</v>
      </c>
      <c r="H6" s="94"/>
      <c r="I6" s="18"/>
      <c r="J6" s="18"/>
      <c r="K6" s="18"/>
      <c r="L6" s="18"/>
      <c r="M6" s="18"/>
      <c r="N6" s="18"/>
      <c r="O6" s="18"/>
      <c r="P6" s="18"/>
      <c r="Q6" s="18"/>
      <c r="R6" s="18"/>
      <c r="S6" s="18"/>
      <c r="T6" s="18"/>
      <c r="U6" s="18"/>
      <c r="V6" s="18"/>
      <c r="W6" s="18"/>
      <c r="X6" s="18"/>
      <c r="Y6" s="18"/>
      <c r="Z6" s="18"/>
    </row>
    <row r="7" spans="1:26" ht="28.5" customHeight="1" x14ac:dyDescent="0.25">
      <c r="A7" s="11" t="s">
        <v>325</v>
      </c>
      <c r="B7" s="11" t="s">
        <v>326</v>
      </c>
      <c r="C7" s="11" t="s">
        <v>49</v>
      </c>
      <c r="D7" s="51">
        <v>639</v>
      </c>
      <c r="E7" s="51">
        <v>706</v>
      </c>
      <c r="F7" s="51">
        <f t="shared" si="0"/>
        <v>-67</v>
      </c>
      <c r="G7" s="51">
        <f t="shared" si="1"/>
        <v>-9.4900849858356935</v>
      </c>
      <c r="H7" s="94"/>
      <c r="I7" s="18"/>
      <c r="J7" s="18"/>
      <c r="K7" s="18"/>
      <c r="L7" s="18"/>
      <c r="M7" s="18"/>
      <c r="N7" s="18"/>
      <c r="O7" s="18"/>
      <c r="P7" s="18"/>
      <c r="Q7" s="18"/>
      <c r="R7" s="18"/>
      <c r="S7" s="18"/>
      <c r="T7" s="18"/>
      <c r="U7" s="18"/>
      <c r="V7" s="18"/>
      <c r="W7" s="18"/>
      <c r="X7" s="18"/>
      <c r="Y7" s="18"/>
      <c r="Z7" s="18"/>
    </row>
    <row r="8" spans="1:26" ht="28.5" customHeight="1" x14ac:dyDescent="0.25">
      <c r="A8" s="11" t="s">
        <v>327</v>
      </c>
      <c r="B8" s="11" t="s">
        <v>328</v>
      </c>
      <c r="C8" s="11" t="s">
        <v>129</v>
      </c>
      <c r="D8" s="51">
        <v>639</v>
      </c>
      <c r="E8" s="51">
        <v>579</v>
      </c>
      <c r="F8" s="51">
        <f t="shared" si="0"/>
        <v>60</v>
      </c>
      <c r="G8" s="51">
        <f t="shared" si="1"/>
        <v>10.362694300518134</v>
      </c>
      <c r="H8" s="94"/>
      <c r="I8" s="18"/>
      <c r="J8" s="18"/>
      <c r="K8" s="18"/>
      <c r="L8" s="18"/>
      <c r="M8" s="18"/>
      <c r="N8" s="18"/>
      <c r="O8" s="18"/>
      <c r="P8" s="18"/>
      <c r="Q8" s="18"/>
      <c r="R8" s="18"/>
      <c r="S8" s="18"/>
      <c r="T8" s="18"/>
      <c r="U8" s="18"/>
      <c r="V8" s="18"/>
      <c r="W8" s="18"/>
      <c r="X8" s="18"/>
      <c r="Y8" s="18"/>
      <c r="Z8" s="18"/>
    </row>
    <row r="9" spans="1:26" ht="28.5" customHeight="1" x14ac:dyDescent="0.25">
      <c r="A9" s="11" t="s">
        <v>329</v>
      </c>
      <c r="B9" s="11" t="s">
        <v>330</v>
      </c>
      <c r="C9" s="11" t="s">
        <v>129</v>
      </c>
      <c r="D9" s="51">
        <v>628</v>
      </c>
      <c r="E9" s="51">
        <v>418</v>
      </c>
      <c r="F9" s="51">
        <f t="shared" si="0"/>
        <v>210</v>
      </c>
      <c r="G9" s="51">
        <f t="shared" si="1"/>
        <v>50.239234449760758</v>
      </c>
      <c r="H9" s="94"/>
      <c r="I9" s="54"/>
      <c r="J9" s="54"/>
      <c r="K9" s="54"/>
      <c r="L9" s="54"/>
      <c r="M9" s="54"/>
      <c r="N9" s="54"/>
      <c r="O9" s="54"/>
      <c r="P9" s="54"/>
      <c r="Q9" s="54"/>
      <c r="R9" s="54"/>
      <c r="S9" s="54"/>
      <c r="T9" s="54"/>
      <c r="U9" s="54"/>
      <c r="V9" s="54"/>
      <c r="W9" s="54"/>
      <c r="X9" s="54"/>
      <c r="Y9" s="54"/>
      <c r="Z9" s="54"/>
    </row>
    <row r="10" spans="1:26" ht="28.5" customHeight="1" x14ac:dyDescent="0.25">
      <c r="A10" s="11" t="s">
        <v>331</v>
      </c>
      <c r="B10" s="11" t="s">
        <v>332</v>
      </c>
      <c r="C10" s="11" t="s">
        <v>129</v>
      </c>
      <c r="D10" s="51">
        <v>613</v>
      </c>
      <c r="E10" s="51">
        <v>664</v>
      </c>
      <c r="F10" s="51">
        <f t="shared" si="0"/>
        <v>-51</v>
      </c>
      <c r="G10" s="51">
        <f t="shared" si="1"/>
        <v>-7.6807228915662646</v>
      </c>
      <c r="H10" s="94"/>
      <c r="I10" s="18"/>
      <c r="J10" s="18"/>
      <c r="K10" s="18"/>
      <c r="L10" s="18"/>
      <c r="M10" s="18"/>
      <c r="N10" s="18"/>
      <c r="O10" s="18"/>
      <c r="P10" s="18"/>
      <c r="Q10" s="18"/>
      <c r="R10" s="18"/>
      <c r="S10" s="18"/>
      <c r="T10" s="18"/>
      <c r="U10" s="18"/>
      <c r="V10" s="18"/>
      <c r="W10" s="18"/>
      <c r="X10" s="18"/>
      <c r="Y10" s="18"/>
      <c r="Z10" s="18"/>
    </row>
    <row r="11" spans="1:26" ht="28.5" customHeight="1" x14ac:dyDescent="0.25">
      <c r="A11" s="11" t="s">
        <v>333</v>
      </c>
      <c r="B11" s="11" t="s">
        <v>334</v>
      </c>
      <c r="C11" s="11" t="s">
        <v>49</v>
      </c>
      <c r="D11" s="51">
        <v>475</v>
      </c>
      <c r="E11" s="51">
        <v>411</v>
      </c>
      <c r="F11" s="51">
        <f t="shared" si="0"/>
        <v>64</v>
      </c>
      <c r="G11" s="51">
        <f t="shared" si="1"/>
        <v>15.571776155717762</v>
      </c>
      <c r="H11" s="94"/>
      <c r="I11" s="54"/>
      <c r="J11" s="54"/>
      <c r="K11" s="54"/>
      <c r="L11" s="54"/>
      <c r="M11" s="54"/>
      <c r="N11" s="54"/>
      <c r="O11" s="54"/>
      <c r="P11" s="54"/>
      <c r="Q11" s="54"/>
      <c r="R11" s="54"/>
      <c r="S11" s="54"/>
      <c r="T11" s="54"/>
      <c r="U11" s="54"/>
      <c r="V11" s="54"/>
      <c r="W11" s="54"/>
      <c r="X11" s="54"/>
      <c r="Y11" s="54"/>
      <c r="Z11" s="54"/>
    </row>
    <row r="12" spans="1:26" ht="28.5" customHeight="1" x14ac:dyDescent="0.25">
      <c r="A12" s="11" t="s">
        <v>335</v>
      </c>
      <c r="B12" s="11" t="s">
        <v>336</v>
      </c>
      <c r="C12" s="11" t="s">
        <v>62</v>
      </c>
      <c r="D12" s="51">
        <v>404</v>
      </c>
      <c r="E12" s="51">
        <v>457</v>
      </c>
      <c r="F12" s="51">
        <f t="shared" si="0"/>
        <v>-53</v>
      </c>
      <c r="G12" s="51">
        <f t="shared" si="1"/>
        <v>-11.597374179431071</v>
      </c>
      <c r="H12" s="94"/>
      <c r="I12" s="18"/>
      <c r="J12" s="18"/>
      <c r="K12" s="18"/>
      <c r="L12" s="18"/>
      <c r="M12" s="18"/>
      <c r="N12" s="18"/>
      <c r="O12" s="18"/>
      <c r="P12" s="18"/>
      <c r="Q12" s="18"/>
      <c r="R12" s="18"/>
      <c r="S12" s="18"/>
      <c r="T12" s="18"/>
      <c r="U12" s="18"/>
      <c r="V12" s="18"/>
      <c r="W12" s="18"/>
      <c r="X12" s="18"/>
      <c r="Y12" s="18"/>
      <c r="Z12" s="18"/>
    </row>
    <row r="13" spans="1:26" ht="28.5" customHeight="1" x14ac:dyDescent="0.25">
      <c r="A13" s="11" t="s">
        <v>337</v>
      </c>
      <c r="B13" s="11"/>
      <c r="C13" s="11"/>
      <c r="D13" s="51">
        <v>396</v>
      </c>
      <c r="E13" s="51">
        <v>407</v>
      </c>
      <c r="F13" s="51">
        <f t="shared" si="0"/>
        <v>-11</v>
      </c>
      <c r="G13" s="51">
        <f t="shared" si="1"/>
        <v>-2.7027027027027026</v>
      </c>
      <c r="H13" s="94"/>
      <c r="I13" s="18"/>
      <c r="J13" s="18"/>
      <c r="K13" s="18"/>
      <c r="L13" s="18"/>
      <c r="M13" s="18"/>
      <c r="N13" s="18"/>
      <c r="O13" s="18"/>
      <c r="P13" s="18"/>
      <c r="Q13" s="18"/>
      <c r="R13" s="18"/>
      <c r="S13" s="18"/>
      <c r="T13" s="18"/>
      <c r="U13" s="18"/>
      <c r="V13" s="18"/>
      <c r="W13" s="18"/>
      <c r="X13" s="18"/>
      <c r="Y13" s="18"/>
      <c r="Z13" s="18"/>
    </row>
    <row r="14" spans="1:26" ht="28.5" customHeight="1" x14ac:dyDescent="0.25">
      <c r="A14" s="11" t="s">
        <v>338</v>
      </c>
      <c r="B14" s="11" t="s">
        <v>339</v>
      </c>
      <c r="C14" s="11" t="s">
        <v>129</v>
      </c>
      <c r="D14" s="51">
        <v>385</v>
      </c>
      <c r="E14" s="51">
        <v>433</v>
      </c>
      <c r="F14" s="51">
        <f t="shared" si="0"/>
        <v>-48</v>
      </c>
      <c r="G14" s="51">
        <f t="shared" si="1"/>
        <v>-11.085450346420323</v>
      </c>
      <c r="H14" s="94"/>
      <c r="I14" s="18"/>
      <c r="J14" s="18"/>
      <c r="K14" s="18"/>
      <c r="L14" s="18"/>
      <c r="M14" s="18"/>
      <c r="N14" s="18"/>
      <c r="O14" s="18"/>
      <c r="P14" s="18"/>
      <c r="Q14" s="18"/>
      <c r="R14" s="18"/>
      <c r="S14" s="18"/>
      <c r="T14" s="18"/>
      <c r="U14" s="18"/>
      <c r="V14" s="18"/>
      <c r="W14" s="18"/>
      <c r="X14" s="18"/>
      <c r="Y14" s="18"/>
      <c r="Z14" s="18"/>
    </row>
    <row r="15" spans="1:26" ht="28.5" customHeight="1" x14ac:dyDescent="0.25">
      <c r="A15" s="11" t="s">
        <v>340</v>
      </c>
      <c r="B15" s="11" t="s">
        <v>341</v>
      </c>
      <c r="C15" s="11" t="s">
        <v>30</v>
      </c>
      <c r="D15" s="51">
        <v>303</v>
      </c>
      <c r="E15" s="51">
        <v>340</v>
      </c>
      <c r="F15" s="51">
        <f t="shared" si="0"/>
        <v>-37</v>
      </c>
      <c r="G15" s="51">
        <f t="shared" si="1"/>
        <v>-10.882352941176471</v>
      </c>
      <c r="H15" s="94"/>
      <c r="I15" s="18"/>
      <c r="J15" s="18"/>
      <c r="K15" s="18"/>
      <c r="L15" s="18"/>
      <c r="M15" s="18"/>
      <c r="N15" s="18"/>
      <c r="O15" s="18"/>
      <c r="P15" s="18"/>
      <c r="Q15" s="18"/>
      <c r="R15" s="18"/>
      <c r="S15" s="18"/>
      <c r="T15" s="18"/>
      <c r="U15" s="18"/>
      <c r="V15" s="18"/>
      <c r="W15" s="18"/>
      <c r="X15" s="18"/>
      <c r="Y15" s="18"/>
      <c r="Z15" s="18"/>
    </row>
    <row r="16" spans="1:26" ht="28.5" customHeight="1" x14ac:dyDescent="0.25">
      <c r="A16" s="11" t="s">
        <v>342</v>
      </c>
      <c r="B16" s="11" t="s">
        <v>343</v>
      </c>
      <c r="C16" s="11" t="s">
        <v>49</v>
      </c>
      <c r="D16" s="51">
        <v>262</v>
      </c>
      <c r="E16" s="51">
        <v>303</v>
      </c>
      <c r="F16" s="51">
        <f t="shared" si="0"/>
        <v>-41</v>
      </c>
      <c r="G16" s="51">
        <f t="shared" si="1"/>
        <v>-13.531353135313532</v>
      </c>
      <c r="H16" s="94"/>
      <c r="I16" s="18"/>
      <c r="J16" s="18"/>
      <c r="K16" s="18"/>
      <c r="L16" s="18"/>
      <c r="M16" s="18"/>
      <c r="N16" s="18"/>
      <c r="O16" s="18"/>
      <c r="P16" s="18"/>
      <c r="Q16" s="18"/>
      <c r="R16" s="18"/>
      <c r="S16" s="18"/>
      <c r="T16" s="18"/>
      <c r="U16" s="18"/>
      <c r="V16" s="18"/>
      <c r="W16" s="18"/>
      <c r="X16" s="18"/>
      <c r="Y16" s="18"/>
      <c r="Z16" s="18"/>
    </row>
    <row r="17" spans="1:26" ht="28.5" customHeight="1" x14ac:dyDescent="0.25">
      <c r="A17" s="26" t="s">
        <v>344</v>
      </c>
      <c r="B17" s="26"/>
      <c r="C17" s="26"/>
      <c r="D17" s="19">
        <v>14329</v>
      </c>
      <c r="E17" s="19">
        <v>14124</v>
      </c>
      <c r="F17" s="19">
        <f t="shared" si="0"/>
        <v>205</v>
      </c>
      <c r="G17" s="19">
        <f t="shared" si="1"/>
        <v>1.4514301897479467</v>
      </c>
      <c r="H17" s="94"/>
      <c r="I17" s="18"/>
      <c r="J17" s="18"/>
      <c r="K17" s="18"/>
      <c r="L17" s="18"/>
      <c r="M17" s="18"/>
      <c r="N17" s="18"/>
      <c r="O17" s="18"/>
      <c r="P17" s="18"/>
      <c r="Q17" s="18"/>
      <c r="R17" s="18"/>
      <c r="S17" s="18"/>
      <c r="T17" s="18"/>
      <c r="U17" s="18"/>
      <c r="V17" s="18"/>
      <c r="W17" s="18"/>
      <c r="X17" s="18"/>
      <c r="Y17" s="18"/>
      <c r="Z17" s="18"/>
    </row>
    <row r="18" spans="1:26" ht="28.5" customHeight="1" x14ac:dyDescent="0.25">
      <c r="A18" s="11" t="s">
        <v>177</v>
      </c>
      <c r="B18" s="11"/>
      <c r="C18" s="11"/>
      <c r="D18" s="51">
        <v>2914</v>
      </c>
      <c r="E18" s="51">
        <f>E19-E17</f>
        <v>3838</v>
      </c>
      <c r="F18" s="51">
        <f t="shared" si="0"/>
        <v>-924</v>
      </c>
      <c r="G18" s="51">
        <f t="shared" si="1"/>
        <v>-24.075039082855653</v>
      </c>
      <c r="H18" s="94"/>
      <c r="I18" s="18"/>
      <c r="J18" s="18"/>
      <c r="K18" s="18"/>
      <c r="L18" s="18"/>
      <c r="M18" s="18"/>
      <c r="N18" s="18"/>
      <c r="O18" s="18"/>
      <c r="P18" s="18"/>
      <c r="Q18" s="18"/>
      <c r="R18" s="18"/>
      <c r="S18" s="18"/>
      <c r="T18" s="18"/>
      <c r="U18" s="18"/>
      <c r="V18" s="18"/>
      <c r="W18" s="18"/>
      <c r="X18" s="18"/>
      <c r="Y18" s="18"/>
      <c r="Z18" s="18"/>
    </row>
    <row r="19" spans="1:26" ht="28.5" customHeight="1" x14ac:dyDescent="0.25">
      <c r="A19" s="26" t="s">
        <v>164</v>
      </c>
      <c r="B19" s="26"/>
      <c r="C19" s="26"/>
      <c r="D19" s="19">
        <v>17243</v>
      </c>
      <c r="E19" s="19">
        <v>17962</v>
      </c>
      <c r="F19" s="19">
        <f t="shared" si="0"/>
        <v>-719</v>
      </c>
      <c r="G19" s="19">
        <f t="shared" si="1"/>
        <v>-4.0028950005567312</v>
      </c>
      <c r="H19" s="94"/>
      <c r="I19" s="18"/>
      <c r="J19" s="18"/>
      <c r="K19" s="18"/>
      <c r="L19" s="18"/>
      <c r="M19" s="18"/>
      <c r="N19" s="18"/>
      <c r="O19" s="18"/>
      <c r="P19" s="18"/>
      <c r="Q19" s="18"/>
      <c r="R19" s="18"/>
      <c r="S19" s="18"/>
      <c r="T19" s="18"/>
      <c r="U19" s="18"/>
      <c r="V19" s="18"/>
      <c r="W19" s="18"/>
      <c r="X19" s="18"/>
      <c r="Y19" s="18"/>
      <c r="Z19" s="18"/>
    </row>
    <row r="20" spans="1:26" ht="28.5" customHeight="1" x14ac:dyDescent="0.25">
      <c r="A20" s="11" t="s">
        <v>345</v>
      </c>
      <c r="B20" s="11"/>
      <c r="C20" s="11"/>
      <c r="D20" s="51">
        <v>5054</v>
      </c>
      <c r="E20" s="51">
        <v>5462</v>
      </c>
      <c r="F20" s="51">
        <f t="shared" si="0"/>
        <v>-408</v>
      </c>
      <c r="G20" s="51">
        <f t="shared" si="1"/>
        <v>-7.4697912852435007</v>
      </c>
      <c r="H20" s="94"/>
      <c r="I20" s="18"/>
      <c r="J20" s="18"/>
      <c r="K20" s="18"/>
      <c r="L20" s="18"/>
      <c r="M20" s="18"/>
      <c r="N20" s="18"/>
      <c r="O20" s="18"/>
      <c r="P20" s="18"/>
      <c r="Q20" s="18"/>
      <c r="R20" s="18"/>
      <c r="S20" s="18"/>
      <c r="T20" s="18"/>
      <c r="U20" s="18"/>
      <c r="V20" s="18"/>
      <c r="W20" s="18"/>
      <c r="X20" s="18"/>
      <c r="Y20" s="18"/>
      <c r="Z20" s="18"/>
    </row>
    <row r="21" spans="1:26" ht="28.5" customHeight="1" x14ac:dyDescent="0.25">
      <c r="A21" s="11" t="s">
        <v>346</v>
      </c>
      <c r="B21" s="11"/>
      <c r="C21" s="11"/>
      <c r="D21" s="51">
        <v>18840</v>
      </c>
      <c r="E21" s="51">
        <v>19832</v>
      </c>
      <c r="F21" s="51">
        <f t="shared" si="0"/>
        <v>-992</v>
      </c>
      <c r="G21" s="51">
        <f t="shared" si="1"/>
        <v>-5.0020169423154499</v>
      </c>
      <c r="H21" s="94"/>
      <c r="I21" s="18"/>
      <c r="J21" s="18"/>
      <c r="K21" s="18"/>
      <c r="L21" s="18"/>
      <c r="M21" s="18"/>
      <c r="N21" s="18"/>
      <c r="O21" s="18"/>
      <c r="P21" s="18"/>
      <c r="Q21" s="18"/>
      <c r="R21" s="18"/>
      <c r="S21" s="18"/>
      <c r="T21" s="18"/>
      <c r="U21" s="18"/>
      <c r="V21" s="18"/>
      <c r="W21" s="18"/>
      <c r="X21" s="18"/>
      <c r="Y21" s="18"/>
      <c r="Z21" s="18"/>
    </row>
    <row r="22" spans="1:26" ht="28.5" customHeight="1" x14ac:dyDescent="0.25">
      <c r="A22" s="11" t="s">
        <v>347</v>
      </c>
      <c r="B22" s="11"/>
      <c r="C22" s="11"/>
      <c r="D22" s="51">
        <v>1150</v>
      </c>
      <c r="E22" s="51">
        <v>1571</v>
      </c>
      <c r="F22" s="51">
        <f t="shared" si="0"/>
        <v>-421</v>
      </c>
      <c r="G22" s="51">
        <f t="shared" si="1"/>
        <v>-26.7982176957352</v>
      </c>
      <c r="H22" s="94"/>
      <c r="I22" s="18"/>
      <c r="J22" s="18"/>
      <c r="K22" s="18"/>
      <c r="L22" s="18"/>
      <c r="M22" s="18"/>
      <c r="N22" s="18"/>
      <c r="O22" s="18"/>
      <c r="P22" s="18"/>
      <c r="Q22" s="18"/>
      <c r="R22" s="18"/>
      <c r="S22" s="18"/>
      <c r="T22" s="18"/>
      <c r="U22" s="18"/>
      <c r="V22" s="18"/>
      <c r="W22" s="18"/>
      <c r="X22" s="18"/>
      <c r="Y22" s="18"/>
      <c r="Z22" s="18"/>
    </row>
    <row r="23" spans="1:26" ht="28.5" customHeight="1" x14ac:dyDescent="0.25">
      <c r="A23" s="26" t="s">
        <v>348</v>
      </c>
      <c r="B23" s="26"/>
      <c r="C23" s="26"/>
      <c r="D23" s="19">
        <v>41400</v>
      </c>
      <c r="E23" s="19">
        <v>43545</v>
      </c>
      <c r="F23" s="19">
        <f t="shared" si="0"/>
        <v>-2145</v>
      </c>
      <c r="G23" s="19">
        <f t="shared" si="1"/>
        <v>-4.9259386841198758</v>
      </c>
      <c r="H23" s="94"/>
      <c r="I23" s="54"/>
      <c r="J23" s="54"/>
      <c r="K23" s="54"/>
      <c r="L23" s="54"/>
      <c r="M23" s="54"/>
      <c r="N23" s="54"/>
      <c r="O23" s="54"/>
      <c r="P23" s="54"/>
      <c r="Q23" s="54"/>
      <c r="R23" s="54"/>
      <c r="S23" s="54"/>
      <c r="T23" s="54"/>
      <c r="U23" s="54"/>
      <c r="V23" s="54"/>
      <c r="W23" s="54"/>
      <c r="X23" s="54"/>
      <c r="Y23" s="54"/>
      <c r="Z23" s="54"/>
    </row>
  </sheetData>
  <pageMargins left="0.7" right="0.7" top="0.75" bottom="0.75" header="0" footer="0"/>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2A5DB0"/>
  </sheetPr>
  <dimension ref="A1:Z22"/>
  <sheetViews>
    <sheetView workbookViewId="0">
      <pane ySplit="1" topLeftCell="A2" activePane="bottomLeft" state="frozen"/>
      <selection pane="bottomLeft"/>
    </sheetView>
  </sheetViews>
  <sheetFormatPr defaultColWidth="14.44140625" defaultRowHeight="15.75" customHeight="1" x14ac:dyDescent="0.25"/>
  <cols>
    <col min="1" max="1" width="26.5546875" customWidth="1"/>
    <col min="2" max="2" width="23.44140625" customWidth="1"/>
    <col min="3" max="3" width="32.6640625" customWidth="1"/>
    <col min="4" max="4" width="14.44140625" customWidth="1"/>
    <col min="5" max="5" width="17.44140625" customWidth="1"/>
    <col min="6" max="6" width="16.44140625" customWidth="1"/>
    <col min="7" max="7" width="14.109375" customWidth="1"/>
    <col min="8" max="8" width="20" customWidth="1"/>
    <col min="9" max="9" width="16" customWidth="1"/>
    <col min="10" max="10" width="12.33203125" customWidth="1"/>
    <col min="11" max="11" width="12" customWidth="1"/>
    <col min="12" max="26" width="9.109375" customWidth="1"/>
  </cols>
  <sheetData>
    <row r="1" spans="1:26" ht="34.5" customHeight="1" x14ac:dyDescent="0.25">
      <c r="A1" s="95" t="s">
        <v>1716</v>
      </c>
      <c r="B1" s="48" t="s">
        <v>10</v>
      </c>
      <c r="C1" s="48" t="s">
        <v>11</v>
      </c>
      <c r="D1" s="48" t="s">
        <v>1678</v>
      </c>
      <c r="E1" s="48" t="s">
        <v>1686</v>
      </c>
      <c r="F1" s="9" t="s">
        <v>1687</v>
      </c>
      <c r="G1" s="48" t="s">
        <v>1678</v>
      </c>
      <c r="H1" s="48" t="s">
        <v>1686</v>
      </c>
      <c r="I1" s="9" t="s">
        <v>1688</v>
      </c>
      <c r="J1" s="48" t="s">
        <v>1682</v>
      </c>
      <c r="K1" s="48" t="s">
        <v>1683</v>
      </c>
      <c r="L1" s="52"/>
      <c r="M1" s="52"/>
      <c r="N1" s="52"/>
      <c r="O1" s="52"/>
      <c r="P1" s="52"/>
      <c r="Q1" s="52"/>
      <c r="R1" s="52"/>
      <c r="S1" s="52"/>
      <c r="T1" s="52"/>
      <c r="U1" s="52"/>
      <c r="V1" s="52"/>
      <c r="W1" s="52"/>
      <c r="X1" s="52"/>
      <c r="Y1" s="52"/>
      <c r="Z1" s="52"/>
    </row>
    <row r="2" spans="1:26" ht="28.5" customHeight="1" x14ac:dyDescent="0.25">
      <c r="A2" s="25" t="s">
        <v>1717</v>
      </c>
      <c r="B2" s="51" t="s">
        <v>1718</v>
      </c>
      <c r="C2" s="51" t="s">
        <v>62</v>
      </c>
      <c r="D2" s="51">
        <v>2677.7</v>
      </c>
      <c r="E2" s="51">
        <v>1163.4000000000001</v>
      </c>
      <c r="F2" s="51">
        <v>3841.1</v>
      </c>
      <c r="G2" s="51">
        <v>3306.5</v>
      </c>
      <c r="H2" s="51">
        <v>1126.2</v>
      </c>
      <c r="I2" s="51">
        <v>4432.7</v>
      </c>
      <c r="J2" s="51">
        <f t="shared" ref="J2:J22" si="0">F2-I2</f>
        <v>-591.59999999999991</v>
      </c>
      <c r="K2" s="51">
        <f t="shared" ref="K2:K22" si="1">(J2/I2)*100</f>
        <v>-13.346267511900194</v>
      </c>
      <c r="L2" s="52"/>
      <c r="M2" s="52"/>
      <c r="N2" s="52"/>
      <c r="O2" s="52"/>
      <c r="P2" s="52"/>
      <c r="Q2" s="52"/>
      <c r="R2" s="52"/>
      <c r="S2" s="52"/>
      <c r="T2" s="52"/>
      <c r="U2" s="52"/>
      <c r="V2" s="52"/>
      <c r="W2" s="52"/>
      <c r="X2" s="52"/>
      <c r="Y2" s="52"/>
      <c r="Z2" s="52"/>
    </row>
    <row r="3" spans="1:26" ht="28.5" customHeight="1" x14ac:dyDescent="0.25">
      <c r="A3" s="33" t="s">
        <v>350</v>
      </c>
      <c r="B3" s="96" t="s">
        <v>351</v>
      </c>
      <c r="C3" s="96" t="s">
        <v>62</v>
      </c>
      <c r="D3" s="96">
        <v>64.3</v>
      </c>
      <c r="E3" s="96">
        <v>0</v>
      </c>
      <c r="F3" s="96">
        <v>64.3</v>
      </c>
      <c r="G3" s="96">
        <v>5.5</v>
      </c>
      <c r="H3" s="96">
        <v>0</v>
      </c>
      <c r="I3" s="96">
        <v>5.5</v>
      </c>
      <c r="J3" s="51">
        <f t="shared" si="0"/>
        <v>58.8</v>
      </c>
      <c r="K3" s="51">
        <f t="shared" si="1"/>
        <v>1069.090909090909</v>
      </c>
      <c r="L3" s="97"/>
      <c r="M3" s="98"/>
      <c r="N3" s="98"/>
      <c r="O3" s="98"/>
      <c r="P3" s="98"/>
      <c r="Q3" s="98"/>
      <c r="R3" s="98"/>
      <c r="S3" s="98"/>
      <c r="T3" s="98"/>
      <c r="U3" s="98"/>
      <c r="V3" s="98"/>
      <c r="W3" s="98"/>
      <c r="X3" s="98"/>
      <c r="Y3" s="98"/>
      <c r="Z3" s="98"/>
    </row>
    <row r="4" spans="1:26" ht="28.5" customHeight="1" x14ac:dyDescent="0.25">
      <c r="A4" s="99" t="s">
        <v>352</v>
      </c>
      <c r="B4" s="100" t="s">
        <v>351</v>
      </c>
      <c r="C4" s="100" t="s">
        <v>62</v>
      </c>
      <c r="D4" s="100">
        <f t="shared" ref="D4:I4" si="2">D2+D3</f>
        <v>2742</v>
      </c>
      <c r="E4" s="100">
        <f t="shared" si="2"/>
        <v>1163.4000000000001</v>
      </c>
      <c r="F4" s="100">
        <f t="shared" si="2"/>
        <v>3905.4</v>
      </c>
      <c r="G4" s="100">
        <f t="shared" si="2"/>
        <v>3312</v>
      </c>
      <c r="H4" s="100">
        <f t="shared" si="2"/>
        <v>1126.2</v>
      </c>
      <c r="I4" s="100">
        <f t="shared" si="2"/>
        <v>4438.2</v>
      </c>
      <c r="J4" s="100">
        <f t="shared" si="0"/>
        <v>-532.79999999999973</v>
      </c>
      <c r="K4" s="100">
        <f t="shared" si="1"/>
        <v>-12.004866837907253</v>
      </c>
      <c r="L4" s="101"/>
      <c r="M4" s="101"/>
      <c r="N4" s="101"/>
      <c r="O4" s="101"/>
      <c r="P4" s="101"/>
      <c r="Q4" s="101"/>
      <c r="R4" s="101"/>
      <c r="S4" s="101"/>
      <c r="T4" s="101"/>
      <c r="U4" s="101"/>
      <c r="V4" s="101"/>
      <c r="W4" s="101"/>
      <c r="X4" s="101"/>
      <c r="Y4" s="101"/>
      <c r="Z4" s="101"/>
    </row>
    <row r="5" spans="1:26" ht="28.5" customHeight="1" x14ac:dyDescent="0.25">
      <c r="A5" s="25" t="s">
        <v>353</v>
      </c>
      <c r="B5" s="51" t="s">
        <v>354</v>
      </c>
      <c r="C5" s="51" t="s">
        <v>62</v>
      </c>
      <c r="D5" s="50">
        <v>1083.4000000000001</v>
      </c>
      <c r="E5" s="50">
        <v>408.5</v>
      </c>
      <c r="F5" s="50">
        <v>1491.9</v>
      </c>
      <c r="G5" s="50">
        <v>1202.0999999999999</v>
      </c>
      <c r="H5" s="50">
        <v>463.8</v>
      </c>
      <c r="I5" s="50">
        <v>1665.9</v>
      </c>
      <c r="J5" s="51">
        <f t="shared" si="0"/>
        <v>-174</v>
      </c>
      <c r="K5" s="51">
        <f t="shared" si="1"/>
        <v>-10.444804610120654</v>
      </c>
      <c r="L5" s="52"/>
      <c r="M5" s="52"/>
      <c r="N5" s="52"/>
      <c r="O5" s="52"/>
      <c r="P5" s="52"/>
      <c r="Q5" s="52"/>
      <c r="R5" s="52"/>
      <c r="S5" s="52"/>
      <c r="T5" s="52"/>
      <c r="U5" s="52"/>
      <c r="V5" s="52"/>
      <c r="W5" s="52"/>
      <c r="X5" s="52"/>
      <c r="Y5" s="52"/>
      <c r="Z5" s="52"/>
    </row>
    <row r="6" spans="1:26" ht="28.5" customHeight="1" x14ac:dyDescent="0.25">
      <c r="A6" s="50" t="s">
        <v>355</v>
      </c>
      <c r="B6" s="51" t="s">
        <v>354</v>
      </c>
      <c r="C6" s="51" t="s">
        <v>62</v>
      </c>
      <c r="D6" s="51">
        <v>190.1</v>
      </c>
      <c r="E6" s="51">
        <v>195.5</v>
      </c>
      <c r="F6" s="51">
        <v>385.6</v>
      </c>
      <c r="G6" s="51">
        <v>224.5</v>
      </c>
      <c r="H6" s="51">
        <v>211.4</v>
      </c>
      <c r="I6" s="51">
        <v>435.9</v>
      </c>
      <c r="J6" s="51">
        <f t="shared" si="0"/>
        <v>-50.299999999999955</v>
      </c>
      <c r="K6" s="51">
        <f t="shared" si="1"/>
        <v>-11.539343886212425</v>
      </c>
      <c r="L6" s="52"/>
      <c r="M6" s="52"/>
      <c r="N6" s="52"/>
      <c r="O6" s="52"/>
      <c r="P6" s="52"/>
      <c r="Q6" s="52"/>
      <c r="R6" s="52"/>
      <c r="S6" s="52"/>
      <c r="T6" s="52"/>
      <c r="U6" s="52"/>
      <c r="V6" s="52"/>
      <c r="W6" s="52"/>
      <c r="X6" s="52"/>
      <c r="Y6" s="52"/>
      <c r="Z6" s="52"/>
    </row>
    <row r="7" spans="1:26" ht="28.5" customHeight="1" x14ac:dyDescent="0.25">
      <c r="A7" s="99" t="s">
        <v>356</v>
      </c>
      <c r="B7" s="100" t="s">
        <v>354</v>
      </c>
      <c r="C7" s="100" t="s">
        <v>62</v>
      </c>
      <c r="D7" s="100">
        <v>1273.5</v>
      </c>
      <c r="E7" s="100">
        <v>604</v>
      </c>
      <c r="F7" s="100">
        <v>1877.5</v>
      </c>
      <c r="G7" s="100">
        <v>1426.6</v>
      </c>
      <c r="H7" s="100">
        <v>675.2</v>
      </c>
      <c r="I7" s="100">
        <v>2101.8000000000002</v>
      </c>
      <c r="J7" s="100">
        <f t="shared" si="0"/>
        <v>-224.30000000000018</v>
      </c>
      <c r="K7" s="100">
        <f t="shared" si="1"/>
        <v>-10.671805119421455</v>
      </c>
      <c r="L7" s="101"/>
      <c r="M7" s="101"/>
      <c r="N7" s="101"/>
      <c r="O7" s="101"/>
      <c r="P7" s="101"/>
      <c r="Q7" s="101"/>
      <c r="R7" s="101"/>
      <c r="S7" s="101"/>
      <c r="T7" s="101"/>
      <c r="U7" s="101"/>
      <c r="V7" s="101"/>
      <c r="W7" s="101"/>
      <c r="X7" s="101"/>
      <c r="Y7" s="101"/>
      <c r="Z7" s="101"/>
    </row>
    <row r="8" spans="1:26" ht="28.5" customHeight="1" x14ac:dyDescent="0.25">
      <c r="A8" s="33" t="s">
        <v>357</v>
      </c>
      <c r="B8" s="96" t="s">
        <v>358</v>
      </c>
      <c r="C8" s="96" t="s">
        <v>62</v>
      </c>
      <c r="D8" s="96">
        <v>1096.8</v>
      </c>
      <c r="E8" s="96">
        <v>849.3</v>
      </c>
      <c r="F8" s="96">
        <v>1946.1</v>
      </c>
      <c r="G8" s="96">
        <v>1041.8</v>
      </c>
      <c r="H8" s="96">
        <v>850.4</v>
      </c>
      <c r="I8" s="96">
        <v>1892.2</v>
      </c>
      <c r="J8" s="51">
        <f t="shared" si="0"/>
        <v>53.899999999999864</v>
      </c>
      <c r="K8" s="51">
        <f t="shared" si="1"/>
        <v>2.8485360955501462</v>
      </c>
      <c r="L8" s="97"/>
      <c r="M8" s="98"/>
      <c r="N8" s="98"/>
      <c r="O8" s="98"/>
      <c r="P8" s="98"/>
      <c r="Q8" s="98"/>
      <c r="R8" s="98"/>
      <c r="S8" s="98"/>
      <c r="T8" s="98"/>
      <c r="U8" s="98"/>
      <c r="V8" s="98"/>
      <c r="W8" s="98"/>
      <c r="X8" s="98"/>
      <c r="Y8" s="98"/>
      <c r="Z8" s="98"/>
    </row>
    <row r="9" spans="1:26" ht="28.5" customHeight="1" x14ac:dyDescent="0.25">
      <c r="A9" s="25" t="s">
        <v>359</v>
      </c>
      <c r="B9" s="51" t="s">
        <v>360</v>
      </c>
      <c r="C9" s="51" t="s">
        <v>62</v>
      </c>
      <c r="D9" s="51">
        <v>0</v>
      </c>
      <c r="E9" s="51">
        <v>103.1</v>
      </c>
      <c r="F9" s="51">
        <v>103.1</v>
      </c>
      <c r="G9" s="51">
        <v>0</v>
      </c>
      <c r="H9" s="51">
        <v>97.1</v>
      </c>
      <c r="I9" s="51">
        <v>97.1</v>
      </c>
      <c r="J9" s="51">
        <f t="shared" si="0"/>
        <v>6</v>
      </c>
      <c r="K9" s="51">
        <f t="shared" si="1"/>
        <v>6.1791967044284242</v>
      </c>
      <c r="L9" s="52"/>
      <c r="M9" s="52"/>
      <c r="N9" s="52"/>
      <c r="O9" s="52"/>
      <c r="P9" s="52"/>
      <c r="Q9" s="52"/>
      <c r="R9" s="52"/>
      <c r="S9" s="52"/>
      <c r="T9" s="52"/>
      <c r="U9" s="52"/>
      <c r="V9" s="52"/>
      <c r="W9" s="52"/>
      <c r="X9" s="52"/>
      <c r="Y9" s="52"/>
      <c r="Z9" s="52"/>
    </row>
    <row r="10" spans="1:26" ht="28.5" customHeight="1" x14ac:dyDescent="0.25">
      <c r="A10" s="22" t="s">
        <v>361</v>
      </c>
      <c r="B10" s="19"/>
      <c r="C10" s="102" t="s">
        <v>62</v>
      </c>
      <c r="D10" s="19">
        <f t="shared" ref="D10:I10" si="3">SUM(D4,D7,D8:D9)</f>
        <v>5112.3</v>
      </c>
      <c r="E10" s="19">
        <f t="shared" si="3"/>
        <v>2719.7999999999997</v>
      </c>
      <c r="F10" s="19">
        <f t="shared" si="3"/>
        <v>7832.1</v>
      </c>
      <c r="G10" s="19">
        <f t="shared" si="3"/>
        <v>5780.4000000000005</v>
      </c>
      <c r="H10" s="19">
        <f t="shared" si="3"/>
        <v>2748.9</v>
      </c>
      <c r="I10" s="19">
        <f t="shared" si="3"/>
        <v>8529.3000000000011</v>
      </c>
      <c r="J10" s="19">
        <f t="shared" si="0"/>
        <v>-697.20000000000073</v>
      </c>
      <c r="K10" s="19">
        <f t="shared" si="1"/>
        <v>-8.1741760754106512</v>
      </c>
      <c r="L10" s="101"/>
      <c r="M10" s="101"/>
      <c r="N10" s="101"/>
      <c r="O10" s="101"/>
      <c r="P10" s="101"/>
      <c r="Q10" s="101"/>
      <c r="R10" s="101"/>
      <c r="S10" s="101"/>
      <c r="T10" s="101"/>
      <c r="U10" s="101"/>
      <c r="V10" s="101"/>
      <c r="W10" s="101"/>
      <c r="X10" s="101"/>
      <c r="Y10" s="101"/>
      <c r="Z10" s="101"/>
    </row>
    <row r="11" spans="1:26" ht="28.5" customHeight="1" x14ac:dyDescent="0.25">
      <c r="A11" s="96" t="s">
        <v>362</v>
      </c>
      <c r="B11" s="96" t="s">
        <v>363</v>
      </c>
      <c r="C11" s="33" t="s">
        <v>169</v>
      </c>
      <c r="D11" s="96">
        <v>787.8</v>
      </c>
      <c r="E11" s="96">
        <v>1264.3</v>
      </c>
      <c r="F11" s="96">
        <v>2052.1</v>
      </c>
      <c r="G11" s="96">
        <v>933.4</v>
      </c>
      <c r="H11" s="96">
        <v>1163.5999999999999</v>
      </c>
      <c r="I11" s="96">
        <v>2097</v>
      </c>
      <c r="J11" s="51">
        <f t="shared" si="0"/>
        <v>-44.900000000000091</v>
      </c>
      <c r="K11" s="51">
        <f t="shared" si="1"/>
        <v>-2.1411540295660512</v>
      </c>
      <c r="L11" s="97"/>
      <c r="M11" s="98"/>
      <c r="N11" s="98"/>
      <c r="O11" s="98"/>
      <c r="P11" s="98"/>
      <c r="Q11" s="98"/>
      <c r="R11" s="98"/>
      <c r="S11" s="98"/>
      <c r="T11" s="98"/>
      <c r="U11" s="98"/>
      <c r="V11" s="98"/>
      <c r="W11" s="98"/>
      <c r="X11" s="98"/>
      <c r="Y11" s="98"/>
      <c r="Z11" s="98"/>
    </row>
    <row r="12" spans="1:26" ht="28.5" customHeight="1" x14ac:dyDescent="0.25">
      <c r="A12" s="19" t="s">
        <v>364</v>
      </c>
      <c r="B12" s="19"/>
      <c r="C12" s="102" t="s">
        <v>169</v>
      </c>
      <c r="D12" s="19">
        <v>787.8</v>
      </c>
      <c r="E12" s="19">
        <v>1264.3</v>
      </c>
      <c r="F12" s="19">
        <v>2052.1</v>
      </c>
      <c r="G12" s="19">
        <v>933.4</v>
      </c>
      <c r="H12" s="19">
        <v>1163.5999999999999</v>
      </c>
      <c r="I12" s="19">
        <v>2097</v>
      </c>
      <c r="J12" s="19">
        <f t="shared" si="0"/>
        <v>-44.900000000000091</v>
      </c>
      <c r="K12" s="19">
        <f t="shared" si="1"/>
        <v>-2.1411540295660512</v>
      </c>
      <c r="L12" s="52"/>
      <c r="M12" s="52"/>
      <c r="N12" s="52"/>
      <c r="O12" s="52"/>
      <c r="P12" s="52"/>
      <c r="Q12" s="52"/>
      <c r="R12" s="52"/>
      <c r="S12" s="52"/>
      <c r="T12" s="52"/>
      <c r="U12" s="52"/>
      <c r="V12" s="52"/>
      <c r="W12" s="52"/>
      <c r="X12" s="52"/>
      <c r="Y12" s="52"/>
      <c r="Z12" s="52"/>
    </row>
    <row r="13" spans="1:26" ht="28.5" customHeight="1" x14ac:dyDescent="0.25">
      <c r="A13" s="96" t="s">
        <v>365</v>
      </c>
      <c r="B13" s="96" t="s">
        <v>137</v>
      </c>
      <c r="C13" s="96" t="s">
        <v>43</v>
      </c>
      <c r="D13" s="96">
        <v>0</v>
      </c>
      <c r="E13" s="96">
        <v>481.6</v>
      </c>
      <c r="F13" s="96">
        <v>481.6</v>
      </c>
      <c r="G13" s="96">
        <v>0</v>
      </c>
      <c r="H13" s="96">
        <v>486.2</v>
      </c>
      <c r="I13" s="96">
        <v>486.2</v>
      </c>
      <c r="J13" s="51">
        <f t="shared" si="0"/>
        <v>-4.5999999999999659</v>
      </c>
      <c r="K13" s="51">
        <f t="shared" si="1"/>
        <v>-0.94611271081858606</v>
      </c>
      <c r="L13" s="97"/>
      <c r="M13" s="98"/>
      <c r="N13" s="98"/>
      <c r="O13" s="98"/>
      <c r="P13" s="98"/>
      <c r="Q13" s="98"/>
      <c r="R13" s="98"/>
      <c r="S13" s="98"/>
      <c r="T13" s="98"/>
      <c r="U13" s="98"/>
      <c r="V13" s="98"/>
      <c r="W13" s="98"/>
      <c r="X13" s="98"/>
      <c r="Y13" s="98"/>
      <c r="Z13" s="98"/>
    </row>
    <row r="14" spans="1:26" ht="28.5" customHeight="1" x14ac:dyDescent="0.25">
      <c r="A14" s="51" t="s">
        <v>366</v>
      </c>
      <c r="B14" s="25" t="s">
        <v>367</v>
      </c>
      <c r="C14" s="51" t="s">
        <v>43</v>
      </c>
      <c r="D14" s="96">
        <v>0</v>
      </c>
      <c r="E14" s="51">
        <v>97.9</v>
      </c>
      <c r="F14" s="51">
        <v>97.9</v>
      </c>
      <c r="G14" s="96">
        <v>0</v>
      </c>
      <c r="H14" s="51">
        <v>68.099999999999994</v>
      </c>
      <c r="I14" s="51">
        <v>68.099999999999994</v>
      </c>
      <c r="J14" s="51">
        <f t="shared" si="0"/>
        <v>29.800000000000011</v>
      </c>
      <c r="K14" s="51">
        <f t="shared" si="1"/>
        <v>43.759177679882541</v>
      </c>
      <c r="L14" s="52"/>
      <c r="M14" s="52"/>
      <c r="N14" s="52"/>
      <c r="O14" s="52"/>
      <c r="P14" s="52"/>
      <c r="Q14" s="52"/>
      <c r="R14" s="52"/>
      <c r="S14" s="52"/>
      <c r="T14" s="52"/>
      <c r="U14" s="52"/>
      <c r="V14" s="52"/>
      <c r="W14" s="52"/>
      <c r="X14" s="52"/>
      <c r="Y14" s="52"/>
      <c r="Z14" s="52"/>
    </row>
    <row r="15" spans="1:26" ht="28.5" customHeight="1" x14ac:dyDescent="0.25">
      <c r="A15" s="51" t="s">
        <v>368</v>
      </c>
      <c r="B15" s="51" t="s">
        <v>139</v>
      </c>
      <c r="C15" s="51" t="s">
        <v>43</v>
      </c>
      <c r="D15" s="96">
        <v>0</v>
      </c>
      <c r="E15" s="51">
        <v>216.3</v>
      </c>
      <c r="F15" s="51">
        <v>216.3</v>
      </c>
      <c r="G15" s="96">
        <v>0</v>
      </c>
      <c r="H15" s="51">
        <v>184</v>
      </c>
      <c r="I15" s="51">
        <v>184</v>
      </c>
      <c r="J15" s="51">
        <f t="shared" si="0"/>
        <v>32.300000000000011</v>
      </c>
      <c r="K15" s="51">
        <f t="shared" si="1"/>
        <v>17.554347826086964</v>
      </c>
      <c r="L15" s="52"/>
      <c r="M15" s="52"/>
      <c r="N15" s="52"/>
      <c r="O15" s="52"/>
      <c r="P15" s="52"/>
      <c r="Q15" s="52"/>
      <c r="R15" s="52"/>
      <c r="S15" s="52"/>
      <c r="T15" s="52"/>
      <c r="U15" s="52"/>
      <c r="V15" s="52"/>
      <c r="W15" s="52"/>
      <c r="X15" s="52"/>
      <c r="Y15" s="52"/>
      <c r="Z15" s="52"/>
    </row>
    <row r="16" spans="1:26" ht="28.5" customHeight="1" x14ac:dyDescent="0.25">
      <c r="A16" s="19" t="s">
        <v>369</v>
      </c>
      <c r="B16" s="19"/>
      <c r="C16" s="19"/>
      <c r="D16" s="19">
        <v>0</v>
      </c>
      <c r="E16" s="19">
        <f t="shared" ref="E16:F16" si="4">SUM(E13:E15)</f>
        <v>795.8</v>
      </c>
      <c r="F16" s="19">
        <f t="shared" si="4"/>
        <v>795.8</v>
      </c>
      <c r="G16" s="19">
        <v>0</v>
      </c>
      <c r="H16" s="19">
        <f t="shared" ref="H16:I16" si="5">SUM(H13:H15)</f>
        <v>738.3</v>
      </c>
      <c r="I16" s="19">
        <f t="shared" si="5"/>
        <v>738.3</v>
      </c>
      <c r="J16" s="19">
        <f t="shared" si="0"/>
        <v>57.5</v>
      </c>
      <c r="K16" s="19">
        <f t="shared" si="1"/>
        <v>7.7881619937694708</v>
      </c>
      <c r="L16" s="52"/>
      <c r="M16" s="52"/>
      <c r="N16" s="52"/>
      <c r="O16" s="52"/>
      <c r="P16" s="52"/>
      <c r="Q16" s="52"/>
      <c r="R16" s="52"/>
      <c r="S16" s="52"/>
      <c r="T16" s="52"/>
      <c r="U16" s="52"/>
      <c r="V16" s="52"/>
      <c r="W16" s="52"/>
      <c r="X16" s="52"/>
      <c r="Y16" s="52"/>
      <c r="Z16" s="52"/>
    </row>
    <row r="17" spans="1:26" ht="28.5" customHeight="1" x14ac:dyDescent="0.25">
      <c r="A17" s="25" t="s">
        <v>370</v>
      </c>
      <c r="B17" s="51" t="s">
        <v>371</v>
      </c>
      <c r="C17" s="33" t="s">
        <v>89</v>
      </c>
      <c r="D17" s="96">
        <v>0</v>
      </c>
      <c r="E17" s="51">
        <v>12.2</v>
      </c>
      <c r="F17" s="51">
        <v>12.2</v>
      </c>
      <c r="G17" s="96">
        <v>0</v>
      </c>
      <c r="H17" s="51">
        <v>15.2</v>
      </c>
      <c r="I17" s="51">
        <v>15.2</v>
      </c>
      <c r="J17" s="51">
        <f t="shared" si="0"/>
        <v>-3</v>
      </c>
      <c r="K17" s="51">
        <f t="shared" si="1"/>
        <v>-19.736842105263158</v>
      </c>
      <c r="L17" s="52"/>
      <c r="M17" s="52"/>
      <c r="N17" s="52"/>
      <c r="O17" s="52"/>
      <c r="P17" s="52"/>
      <c r="Q17" s="52"/>
      <c r="R17" s="52"/>
      <c r="S17" s="52"/>
      <c r="T17" s="52"/>
      <c r="U17" s="52"/>
      <c r="V17" s="52"/>
      <c r="W17" s="52"/>
      <c r="X17" s="52"/>
      <c r="Y17" s="52"/>
      <c r="Z17" s="52"/>
    </row>
    <row r="18" spans="1:26" ht="28.5" customHeight="1" x14ac:dyDescent="0.25">
      <c r="A18" s="19" t="s">
        <v>372</v>
      </c>
      <c r="B18" s="19"/>
      <c r="C18" s="19"/>
      <c r="D18" s="19">
        <v>5900.1</v>
      </c>
      <c r="E18" s="19">
        <v>4792.1000000000004</v>
      </c>
      <c r="F18" s="19">
        <v>10692.2</v>
      </c>
      <c r="G18" s="19">
        <v>6713.8</v>
      </c>
      <c r="H18" s="19">
        <v>4666</v>
      </c>
      <c r="I18" s="19">
        <v>11379.8</v>
      </c>
      <c r="J18" s="19">
        <f t="shared" si="0"/>
        <v>-687.59999999999854</v>
      </c>
      <c r="K18" s="19">
        <f t="shared" si="1"/>
        <v>-6.0422854531713961</v>
      </c>
      <c r="L18" s="101"/>
      <c r="M18" s="101"/>
      <c r="N18" s="101"/>
      <c r="O18" s="101"/>
      <c r="P18" s="101"/>
      <c r="Q18" s="101"/>
      <c r="R18" s="101"/>
      <c r="S18" s="101"/>
      <c r="T18" s="101"/>
      <c r="U18" s="101"/>
      <c r="V18" s="101"/>
      <c r="W18" s="101"/>
      <c r="X18" s="101"/>
      <c r="Y18" s="101"/>
      <c r="Z18" s="101"/>
    </row>
    <row r="19" spans="1:26" ht="28.5" customHeight="1" x14ac:dyDescent="0.25">
      <c r="A19" s="51" t="s">
        <v>373</v>
      </c>
      <c r="B19" s="51" t="s">
        <v>374</v>
      </c>
      <c r="C19" s="51" t="s">
        <v>62</v>
      </c>
      <c r="D19" s="51"/>
      <c r="E19" s="51"/>
      <c r="F19" s="51">
        <v>845.4</v>
      </c>
      <c r="G19" s="51"/>
      <c r="H19" s="51"/>
      <c r="I19" s="51">
        <v>687.5</v>
      </c>
      <c r="J19" s="51">
        <f t="shared" si="0"/>
        <v>157.89999999999998</v>
      </c>
      <c r="K19" s="51">
        <f t="shared" si="1"/>
        <v>22.967272727272725</v>
      </c>
      <c r="L19" s="52"/>
      <c r="M19" s="52"/>
      <c r="N19" s="52"/>
      <c r="O19" s="52"/>
      <c r="P19" s="52"/>
      <c r="Q19" s="52"/>
      <c r="R19" s="52"/>
      <c r="S19" s="52"/>
      <c r="T19" s="52"/>
      <c r="U19" s="52"/>
      <c r="V19" s="52"/>
      <c r="W19" s="52"/>
      <c r="X19" s="52"/>
      <c r="Y19" s="52"/>
      <c r="Z19" s="52"/>
    </row>
    <row r="20" spans="1:26" ht="28.5" customHeight="1" x14ac:dyDescent="0.25">
      <c r="A20" s="51" t="s">
        <v>375</v>
      </c>
      <c r="B20" s="51" t="s">
        <v>376</v>
      </c>
      <c r="C20" s="51" t="s">
        <v>49</v>
      </c>
      <c r="D20" s="51"/>
      <c r="E20" s="51"/>
      <c r="F20" s="51">
        <v>1132.4000000000001</v>
      </c>
      <c r="G20" s="51"/>
      <c r="H20" s="51"/>
      <c r="I20" s="51">
        <v>1602.9</v>
      </c>
      <c r="J20" s="51">
        <f t="shared" si="0"/>
        <v>-470.5</v>
      </c>
      <c r="K20" s="51">
        <f t="shared" si="1"/>
        <v>-29.35304760122278</v>
      </c>
      <c r="L20" s="52"/>
      <c r="M20" s="52"/>
      <c r="N20" s="52"/>
      <c r="O20" s="52"/>
      <c r="P20" s="52"/>
      <c r="Q20" s="52"/>
      <c r="R20" s="52"/>
      <c r="S20" s="52"/>
      <c r="T20" s="52"/>
      <c r="U20" s="52"/>
      <c r="V20" s="52"/>
      <c r="W20" s="52"/>
      <c r="X20" s="52"/>
      <c r="Y20" s="52"/>
      <c r="Z20" s="52"/>
    </row>
    <row r="21" spans="1:26" ht="28.5" customHeight="1" x14ac:dyDescent="0.25">
      <c r="A21" s="51" t="s">
        <v>165</v>
      </c>
      <c r="B21" s="51"/>
      <c r="C21" s="51"/>
      <c r="D21" s="51"/>
      <c r="E21" s="51"/>
      <c r="F21" s="51">
        <v>774.6</v>
      </c>
      <c r="G21" s="51"/>
      <c r="H21" s="51"/>
      <c r="I21" s="51">
        <v>707.7</v>
      </c>
      <c r="J21" s="51">
        <f t="shared" si="0"/>
        <v>66.899999999999977</v>
      </c>
      <c r="K21" s="51">
        <f t="shared" si="1"/>
        <v>9.4531581178465416</v>
      </c>
      <c r="L21" s="52"/>
      <c r="M21" s="52"/>
      <c r="N21" s="52"/>
      <c r="O21" s="52"/>
      <c r="P21" s="52"/>
      <c r="Q21" s="52"/>
      <c r="R21" s="52"/>
      <c r="S21" s="52"/>
      <c r="T21" s="52"/>
      <c r="U21" s="52"/>
      <c r="V21" s="52"/>
      <c r="W21" s="52"/>
      <c r="X21" s="52"/>
      <c r="Y21" s="52"/>
      <c r="Z21" s="52"/>
    </row>
    <row r="22" spans="1:26" ht="28.5" customHeight="1" x14ac:dyDescent="0.25">
      <c r="A22" s="19" t="s">
        <v>38</v>
      </c>
      <c r="B22" s="103"/>
      <c r="C22" s="103"/>
      <c r="D22" s="103"/>
      <c r="E22" s="103"/>
      <c r="F22" s="19">
        <v>13444.6</v>
      </c>
      <c r="G22" s="103"/>
      <c r="H22" s="103"/>
      <c r="I22" s="19">
        <v>14377.9</v>
      </c>
      <c r="J22" s="19">
        <f t="shared" si="0"/>
        <v>-933.29999999999927</v>
      </c>
      <c r="K22" s="19">
        <f t="shared" si="1"/>
        <v>-6.491212207624196</v>
      </c>
      <c r="L22" s="101"/>
      <c r="M22" s="101"/>
      <c r="N22" s="101"/>
      <c r="O22" s="101"/>
      <c r="P22" s="101"/>
      <c r="Q22" s="101"/>
      <c r="R22" s="101"/>
      <c r="S22" s="101"/>
      <c r="T22" s="101"/>
      <c r="U22" s="101"/>
      <c r="V22" s="101"/>
      <c r="W22" s="101"/>
      <c r="X22" s="101"/>
      <c r="Y22" s="101"/>
      <c r="Z22" s="101"/>
    </row>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2A5DB0"/>
  </sheetPr>
  <dimension ref="A1:Z12"/>
  <sheetViews>
    <sheetView workbookViewId="0">
      <pane ySplit="1" topLeftCell="A2" activePane="bottomLeft" state="frozen"/>
      <selection pane="bottomLeft"/>
    </sheetView>
  </sheetViews>
  <sheetFormatPr defaultColWidth="14.44140625" defaultRowHeight="15.75" customHeight="1" x14ac:dyDescent="0.25"/>
  <cols>
    <col min="1" max="1" width="41.88671875" customWidth="1"/>
    <col min="2" max="2" width="16.6640625" customWidth="1"/>
    <col min="3" max="5" width="23" customWidth="1"/>
    <col min="6" max="6" width="15.6640625" customWidth="1"/>
    <col min="7" max="7" width="11.5546875" customWidth="1"/>
    <col min="8" max="26" width="9.109375" customWidth="1"/>
  </cols>
  <sheetData>
    <row r="1" spans="1:26" ht="34.5" customHeight="1" x14ac:dyDescent="0.25">
      <c r="A1" s="46" t="s">
        <v>1719</v>
      </c>
      <c r="B1" s="47" t="s">
        <v>10</v>
      </c>
      <c r="C1" s="47" t="s">
        <v>11</v>
      </c>
      <c r="D1" s="9" t="s">
        <v>1687</v>
      </c>
      <c r="E1" s="48" t="s">
        <v>1688</v>
      </c>
      <c r="F1" s="47" t="s">
        <v>1682</v>
      </c>
      <c r="G1" s="48" t="s">
        <v>1683</v>
      </c>
      <c r="K1" s="93"/>
      <c r="L1" s="93"/>
      <c r="M1" s="93"/>
      <c r="N1" s="93"/>
      <c r="O1" s="93"/>
      <c r="P1" s="93"/>
      <c r="Q1" s="93"/>
      <c r="R1" s="93"/>
      <c r="S1" s="93"/>
      <c r="T1" s="93"/>
      <c r="U1" s="93"/>
      <c r="V1" s="93"/>
      <c r="W1" s="93"/>
      <c r="X1" s="93"/>
      <c r="Y1" s="93"/>
      <c r="Z1" s="93"/>
    </row>
    <row r="2" spans="1:26" ht="28.5" customHeight="1" x14ac:dyDescent="0.3">
      <c r="A2" s="11" t="s">
        <v>1720</v>
      </c>
      <c r="B2" s="11" t="s">
        <v>1721</v>
      </c>
      <c r="C2" s="11" t="s">
        <v>92</v>
      </c>
      <c r="D2" s="51">
        <v>544.4</v>
      </c>
      <c r="E2" s="51">
        <v>544.29999999999995</v>
      </c>
      <c r="F2" s="25">
        <f t="shared" ref="F2:F12" si="0">D2-E2</f>
        <v>0.10000000000002274</v>
      </c>
      <c r="G2" s="25">
        <f t="shared" ref="G2:G12" si="1">(F2/E2)*100</f>
        <v>1.8372221201547443E-2</v>
      </c>
      <c r="H2" s="87"/>
      <c r="I2" s="87"/>
      <c r="J2" s="87"/>
      <c r="K2" s="18"/>
      <c r="L2" s="87"/>
      <c r="M2" s="87"/>
      <c r="N2" s="87"/>
      <c r="O2" s="87"/>
      <c r="P2" s="87"/>
      <c r="Q2" s="87"/>
      <c r="R2" s="87"/>
      <c r="S2" s="87"/>
      <c r="T2" s="87"/>
      <c r="U2" s="87"/>
      <c r="V2" s="87"/>
      <c r="W2" s="87"/>
      <c r="X2" s="87"/>
      <c r="Y2" s="87"/>
      <c r="Z2" s="87"/>
    </row>
    <row r="3" spans="1:26" ht="28.5" customHeight="1" x14ac:dyDescent="0.3">
      <c r="A3" s="11" t="s">
        <v>378</v>
      </c>
      <c r="B3" s="11" t="s">
        <v>379</v>
      </c>
      <c r="C3" s="11" t="s">
        <v>258</v>
      </c>
      <c r="D3" s="51">
        <v>457.7</v>
      </c>
      <c r="E3" s="51">
        <v>463.4</v>
      </c>
      <c r="F3" s="25">
        <f t="shared" si="0"/>
        <v>-5.6999999999999886</v>
      </c>
      <c r="G3" s="25">
        <f t="shared" si="1"/>
        <v>-1.2300388433318923</v>
      </c>
      <c r="H3" s="87"/>
      <c r="I3" s="87"/>
      <c r="J3" s="87"/>
      <c r="K3" s="18"/>
      <c r="L3" s="18"/>
      <c r="M3" s="18"/>
      <c r="N3" s="18"/>
      <c r="O3" s="18"/>
      <c r="P3" s="18"/>
      <c r="Q3" s="18"/>
      <c r="R3" s="18"/>
      <c r="S3" s="18"/>
      <c r="T3" s="18"/>
      <c r="U3" s="18"/>
      <c r="V3" s="18"/>
      <c r="W3" s="18"/>
      <c r="X3" s="18"/>
      <c r="Y3" s="18"/>
      <c r="Z3" s="18"/>
    </row>
    <row r="4" spans="1:26" ht="28.5" customHeight="1" x14ac:dyDescent="0.3">
      <c r="A4" s="11" t="s">
        <v>380</v>
      </c>
      <c r="B4" s="11" t="s">
        <v>381</v>
      </c>
      <c r="C4" s="11" t="s">
        <v>92</v>
      </c>
      <c r="D4" s="51">
        <v>391.3</v>
      </c>
      <c r="E4" s="51">
        <v>374.3</v>
      </c>
      <c r="F4" s="25">
        <f t="shared" si="0"/>
        <v>17</v>
      </c>
      <c r="G4" s="25">
        <f t="shared" si="1"/>
        <v>4.5418113812449903</v>
      </c>
      <c r="H4" s="87"/>
      <c r="I4" s="87"/>
      <c r="J4" s="87"/>
      <c r="K4" s="18"/>
      <c r="L4" s="87"/>
      <c r="M4" s="87"/>
      <c r="N4" s="87"/>
      <c r="O4" s="87"/>
      <c r="P4" s="87"/>
      <c r="Q4" s="87"/>
      <c r="R4" s="87"/>
      <c r="S4" s="87"/>
      <c r="T4" s="87"/>
      <c r="U4" s="87"/>
      <c r="V4" s="87"/>
      <c r="W4" s="87"/>
      <c r="X4" s="87"/>
      <c r="Y4" s="87"/>
      <c r="Z4" s="87"/>
    </row>
    <row r="5" spans="1:26" ht="28.5" customHeight="1" x14ac:dyDescent="0.3">
      <c r="A5" s="11" t="s">
        <v>382</v>
      </c>
      <c r="B5" s="11" t="s">
        <v>383</v>
      </c>
      <c r="C5" s="11" t="s">
        <v>169</v>
      </c>
      <c r="D5" s="51">
        <v>171</v>
      </c>
      <c r="E5" s="51">
        <v>86.9</v>
      </c>
      <c r="F5" s="25">
        <f t="shared" si="0"/>
        <v>84.1</v>
      </c>
      <c r="G5" s="25">
        <f t="shared" si="1"/>
        <v>96.777905638665118</v>
      </c>
      <c r="H5" s="87"/>
      <c r="I5" s="87"/>
      <c r="J5" s="87"/>
      <c r="K5" s="18"/>
      <c r="L5" s="87"/>
      <c r="M5" s="87"/>
      <c r="N5" s="87"/>
      <c r="O5" s="87"/>
      <c r="P5" s="87"/>
      <c r="Q5" s="87"/>
      <c r="R5" s="87"/>
      <c r="S5" s="87"/>
      <c r="T5" s="87"/>
      <c r="U5" s="87"/>
      <c r="V5" s="87"/>
      <c r="W5" s="87"/>
      <c r="X5" s="87"/>
      <c r="Y5" s="87"/>
      <c r="Z5" s="87"/>
    </row>
    <row r="6" spans="1:26" ht="28.5" customHeight="1" x14ac:dyDescent="0.3">
      <c r="A6" s="11" t="s">
        <v>384</v>
      </c>
      <c r="B6" s="11" t="s">
        <v>385</v>
      </c>
      <c r="C6" s="11" t="s">
        <v>92</v>
      </c>
      <c r="D6" s="51">
        <v>110.2</v>
      </c>
      <c r="E6" s="51">
        <v>72</v>
      </c>
      <c r="F6" s="25">
        <f t="shared" si="0"/>
        <v>38.200000000000003</v>
      </c>
      <c r="G6" s="25">
        <f t="shared" si="1"/>
        <v>53.055555555555557</v>
      </c>
      <c r="H6" s="87"/>
      <c r="I6" s="87"/>
      <c r="J6" s="87"/>
      <c r="K6" s="18"/>
      <c r="L6" s="18"/>
      <c r="M6" s="18"/>
      <c r="N6" s="18"/>
      <c r="O6" s="18"/>
      <c r="P6" s="18"/>
      <c r="Q6" s="18"/>
      <c r="R6" s="18"/>
      <c r="S6" s="18"/>
      <c r="T6" s="18"/>
      <c r="U6" s="18"/>
      <c r="V6" s="18"/>
      <c r="W6" s="18"/>
      <c r="X6" s="18"/>
      <c r="Y6" s="18"/>
      <c r="Z6" s="18"/>
    </row>
    <row r="7" spans="1:26" ht="28.5" customHeight="1" x14ac:dyDescent="0.3">
      <c r="A7" s="11" t="s">
        <v>386</v>
      </c>
      <c r="B7" s="11" t="s">
        <v>387</v>
      </c>
      <c r="C7" s="11" t="s">
        <v>92</v>
      </c>
      <c r="D7" s="51">
        <v>1.2</v>
      </c>
      <c r="E7" s="51">
        <v>22.3</v>
      </c>
      <c r="F7" s="25">
        <f t="shared" si="0"/>
        <v>-21.1</v>
      </c>
      <c r="G7" s="25">
        <f t="shared" si="1"/>
        <v>-94.618834080717491</v>
      </c>
      <c r="H7" s="87"/>
      <c r="I7" s="87"/>
      <c r="J7" s="87"/>
      <c r="K7" s="18"/>
      <c r="L7" s="18"/>
      <c r="M7" s="18"/>
      <c r="N7" s="18"/>
      <c r="O7" s="18"/>
      <c r="P7" s="18"/>
      <c r="Q7" s="18"/>
      <c r="R7" s="18"/>
      <c r="S7" s="18"/>
      <c r="T7" s="18"/>
      <c r="U7" s="18"/>
      <c r="V7" s="18"/>
      <c r="W7" s="18"/>
      <c r="X7" s="18"/>
      <c r="Y7" s="18"/>
      <c r="Z7" s="18"/>
    </row>
    <row r="8" spans="1:26" ht="28.5" customHeight="1" x14ac:dyDescent="0.3">
      <c r="A8" s="26" t="s">
        <v>388</v>
      </c>
      <c r="B8" s="26"/>
      <c r="C8" s="26"/>
      <c r="D8" s="19">
        <v>1675.8</v>
      </c>
      <c r="E8" s="19">
        <v>1563.2</v>
      </c>
      <c r="F8" s="22">
        <f t="shared" si="0"/>
        <v>112.59999999999991</v>
      </c>
      <c r="G8" s="22">
        <f t="shared" si="1"/>
        <v>7.2031729785056235</v>
      </c>
      <c r="H8" s="87"/>
      <c r="I8" s="87"/>
      <c r="J8" s="87"/>
      <c r="K8" s="18"/>
      <c r="L8" s="87"/>
      <c r="M8" s="87"/>
      <c r="N8" s="87"/>
      <c r="O8" s="87"/>
      <c r="P8" s="87"/>
      <c r="Q8" s="87"/>
      <c r="R8" s="87"/>
      <c r="S8" s="87"/>
      <c r="T8" s="87"/>
      <c r="U8" s="87"/>
      <c r="V8" s="87"/>
      <c r="W8" s="87"/>
      <c r="X8" s="87"/>
      <c r="Y8" s="87"/>
      <c r="Z8" s="87"/>
    </row>
    <row r="9" spans="1:26" ht="28.5" customHeight="1" x14ac:dyDescent="0.3">
      <c r="A9" s="11" t="s">
        <v>389</v>
      </c>
      <c r="B9" s="11" t="s">
        <v>390</v>
      </c>
      <c r="C9" s="11" t="s">
        <v>92</v>
      </c>
      <c r="D9" s="51">
        <v>130.1</v>
      </c>
      <c r="E9" s="51">
        <v>97.8</v>
      </c>
      <c r="F9" s="25">
        <f t="shared" si="0"/>
        <v>32.299999999999997</v>
      </c>
      <c r="G9" s="25">
        <f t="shared" si="1"/>
        <v>33.026584867075663</v>
      </c>
      <c r="H9" s="87"/>
      <c r="I9" s="87"/>
      <c r="J9" s="87"/>
      <c r="K9" s="18"/>
      <c r="L9" s="18"/>
      <c r="M9" s="18"/>
      <c r="N9" s="18"/>
      <c r="O9" s="18"/>
      <c r="P9" s="18"/>
      <c r="Q9" s="18"/>
      <c r="R9" s="18"/>
      <c r="S9" s="18"/>
      <c r="T9" s="18"/>
      <c r="U9" s="18"/>
      <c r="V9" s="18"/>
      <c r="W9" s="18"/>
      <c r="X9" s="18"/>
      <c r="Y9" s="18"/>
      <c r="Z9" s="18"/>
    </row>
    <row r="10" spans="1:26" ht="28.5" customHeight="1" x14ac:dyDescent="0.3">
      <c r="A10" s="26" t="s">
        <v>391</v>
      </c>
      <c r="B10" s="26"/>
      <c r="C10" s="26"/>
      <c r="D10" s="19">
        <v>1805.9</v>
      </c>
      <c r="E10" s="19">
        <v>1661</v>
      </c>
      <c r="F10" s="22">
        <f t="shared" si="0"/>
        <v>144.90000000000009</v>
      </c>
      <c r="G10" s="22">
        <f t="shared" si="1"/>
        <v>8.7236604455147546</v>
      </c>
      <c r="H10" s="87"/>
      <c r="I10" s="87"/>
      <c r="J10" s="87"/>
      <c r="K10" s="18"/>
      <c r="L10" s="87"/>
      <c r="M10" s="87"/>
      <c r="N10" s="87"/>
      <c r="O10" s="87"/>
      <c r="P10" s="87"/>
      <c r="Q10" s="87"/>
      <c r="R10" s="87"/>
      <c r="S10" s="87"/>
      <c r="T10" s="87"/>
      <c r="U10" s="87"/>
      <c r="V10" s="87"/>
      <c r="W10" s="87"/>
      <c r="X10" s="87"/>
      <c r="Y10" s="87"/>
      <c r="Z10" s="87"/>
    </row>
    <row r="11" spans="1:26" ht="28.5" customHeight="1" x14ac:dyDescent="0.3">
      <c r="A11" s="11" t="s">
        <v>392</v>
      </c>
      <c r="B11" s="11"/>
      <c r="C11" s="11"/>
      <c r="D11" s="51">
        <v>54.6</v>
      </c>
      <c r="E11" s="51">
        <v>43</v>
      </c>
      <c r="F11" s="25">
        <f t="shared" si="0"/>
        <v>11.600000000000001</v>
      </c>
      <c r="G11" s="25">
        <f t="shared" si="1"/>
        <v>26.976744186046513</v>
      </c>
      <c r="H11" s="87"/>
      <c r="I11" s="87"/>
      <c r="J11" s="87"/>
      <c r="K11" s="18"/>
      <c r="L11" s="87"/>
      <c r="M11" s="87"/>
      <c r="N11" s="87"/>
      <c r="O11" s="87"/>
      <c r="P11" s="87"/>
      <c r="Q11" s="87"/>
      <c r="R11" s="87"/>
      <c r="S11" s="87"/>
      <c r="T11" s="87"/>
      <c r="U11" s="87"/>
      <c r="V11" s="87"/>
      <c r="W11" s="87"/>
      <c r="X11" s="87"/>
      <c r="Y11" s="87"/>
      <c r="Z11" s="87"/>
    </row>
    <row r="12" spans="1:26" ht="28.5" customHeight="1" x14ac:dyDescent="0.3">
      <c r="A12" s="26" t="s">
        <v>101</v>
      </c>
      <c r="B12" s="26"/>
      <c r="C12" s="26"/>
      <c r="D12" s="19">
        <v>1860.5</v>
      </c>
      <c r="E12" s="19">
        <v>1704</v>
      </c>
      <c r="F12" s="22">
        <f t="shared" si="0"/>
        <v>156.5</v>
      </c>
      <c r="G12" s="22">
        <f t="shared" si="1"/>
        <v>9.1842723004694822</v>
      </c>
      <c r="H12" s="87"/>
      <c r="I12" s="87"/>
      <c r="J12" s="87"/>
      <c r="K12" s="18"/>
      <c r="L12" s="87"/>
      <c r="M12" s="87"/>
      <c r="N12" s="87"/>
      <c r="O12" s="87"/>
      <c r="P12" s="87"/>
      <c r="Q12" s="87"/>
      <c r="R12" s="87"/>
      <c r="S12" s="87"/>
      <c r="T12" s="87"/>
      <c r="U12" s="87"/>
      <c r="V12" s="87"/>
      <c r="W12" s="87"/>
      <c r="X12" s="87"/>
      <c r="Y12" s="87"/>
      <c r="Z12" s="87"/>
    </row>
  </sheetData>
  <pageMargins left="0.7" right="0.7" top="0.75" bottom="0.75" header="0" footer="0"/>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2A5DB0"/>
  </sheetPr>
  <dimension ref="A1:Z19"/>
  <sheetViews>
    <sheetView workbookViewId="0">
      <pane ySplit="1" topLeftCell="A2" activePane="bottomLeft" state="frozen"/>
      <selection pane="bottomLeft"/>
    </sheetView>
  </sheetViews>
  <sheetFormatPr defaultColWidth="14.44140625" defaultRowHeight="15.75" customHeight="1" x14ac:dyDescent="0.25"/>
  <cols>
    <col min="1" max="1" width="31.109375" customWidth="1"/>
    <col min="2" max="3" width="27.33203125" customWidth="1"/>
    <col min="4" max="5" width="21.44140625" customWidth="1"/>
    <col min="6" max="7" width="13.44140625" customWidth="1"/>
    <col min="8" max="26" width="27.33203125" customWidth="1"/>
  </cols>
  <sheetData>
    <row r="1" spans="1:26" ht="34.5" customHeight="1" x14ac:dyDescent="0.25">
      <c r="A1" s="104" t="s">
        <v>1722</v>
      </c>
      <c r="B1" s="105" t="s">
        <v>10</v>
      </c>
      <c r="C1" s="105" t="s">
        <v>11</v>
      </c>
      <c r="D1" s="106" t="s">
        <v>1687</v>
      </c>
      <c r="E1" s="107" t="s">
        <v>1688</v>
      </c>
      <c r="F1" s="107" t="s">
        <v>1682</v>
      </c>
      <c r="G1" s="107" t="s">
        <v>1683</v>
      </c>
      <c r="H1" s="93"/>
      <c r="I1" s="93"/>
      <c r="J1" s="93"/>
      <c r="K1" s="93"/>
      <c r="L1" s="93"/>
      <c r="M1" s="93"/>
      <c r="N1" s="93"/>
      <c r="O1" s="93"/>
      <c r="P1" s="93"/>
      <c r="Q1" s="93"/>
      <c r="R1" s="93"/>
      <c r="S1" s="93"/>
      <c r="T1" s="93"/>
      <c r="U1" s="93"/>
      <c r="V1" s="93"/>
      <c r="W1" s="93"/>
      <c r="X1" s="93"/>
      <c r="Y1" s="93"/>
      <c r="Z1" s="93"/>
    </row>
    <row r="2" spans="1:26" ht="28.5" customHeight="1" x14ac:dyDescent="0.25">
      <c r="A2" s="2" t="s">
        <v>605</v>
      </c>
      <c r="B2" s="2" t="s">
        <v>606</v>
      </c>
      <c r="C2" s="2" t="s">
        <v>201</v>
      </c>
      <c r="D2" s="108">
        <v>2480</v>
      </c>
      <c r="E2" s="108">
        <v>2152</v>
      </c>
      <c r="F2" s="3">
        <f t="shared" ref="F2:F19" si="0">D2-E2</f>
        <v>328</v>
      </c>
      <c r="G2" s="3">
        <f t="shared" ref="G2:G19" si="1">(F2/E2)*100</f>
        <v>15.241635687732341</v>
      </c>
      <c r="H2" s="94"/>
      <c r="I2" s="18"/>
      <c r="J2" s="18"/>
      <c r="K2" s="18"/>
      <c r="L2" s="18"/>
      <c r="M2" s="18"/>
      <c r="N2" s="18"/>
      <c r="O2" s="18"/>
      <c r="P2" s="18"/>
      <c r="Q2" s="18"/>
      <c r="R2" s="18"/>
      <c r="S2" s="18"/>
      <c r="T2" s="18"/>
      <c r="U2" s="18"/>
      <c r="V2" s="18"/>
      <c r="W2" s="18"/>
      <c r="X2" s="18"/>
      <c r="Y2" s="18"/>
      <c r="Z2" s="18"/>
    </row>
    <row r="3" spans="1:26" ht="28.5" customHeight="1" x14ac:dyDescent="0.25">
      <c r="A3" s="2" t="s">
        <v>435</v>
      </c>
      <c r="B3" s="2" t="s">
        <v>436</v>
      </c>
      <c r="C3" s="2" t="s">
        <v>221</v>
      </c>
      <c r="D3" s="3">
        <v>2055</v>
      </c>
      <c r="E3" s="3">
        <v>1491</v>
      </c>
      <c r="F3" s="3">
        <f t="shared" si="0"/>
        <v>564</v>
      </c>
      <c r="G3" s="3">
        <f t="shared" si="1"/>
        <v>37.82696177062374</v>
      </c>
      <c r="H3" s="18"/>
      <c r="I3" s="18"/>
      <c r="J3" s="18"/>
      <c r="K3" s="18"/>
      <c r="L3" s="18"/>
      <c r="M3" s="18"/>
      <c r="N3" s="18"/>
      <c r="O3" s="18"/>
      <c r="P3" s="18"/>
      <c r="Q3" s="18"/>
      <c r="R3" s="18"/>
      <c r="S3" s="18"/>
      <c r="T3" s="18"/>
      <c r="U3" s="18"/>
      <c r="V3" s="18"/>
      <c r="W3" s="18"/>
      <c r="X3" s="18"/>
      <c r="Y3" s="18"/>
      <c r="Z3" s="18"/>
    </row>
    <row r="4" spans="1:26" ht="28.5" customHeight="1" x14ac:dyDescent="0.25">
      <c r="A4" s="2" t="s">
        <v>437</v>
      </c>
      <c r="B4" s="2" t="s">
        <v>438</v>
      </c>
      <c r="C4" s="2" t="s">
        <v>221</v>
      </c>
      <c r="D4" s="108">
        <v>1793</v>
      </c>
      <c r="E4" s="108">
        <v>2058</v>
      </c>
      <c r="F4" s="3">
        <f t="shared" si="0"/>
        <v>-265</v>
      </c>
      <c r="G4" s="3">
        <f t="shared" si="1"/>
        <v>-12.876579203109815</v>
      </c>
      <c r="H4" s="94"/>
      <c r="I4" s="18"/>
      <c r="J4" s="18"/>
      <c r="K4" s="18"/>
      <c r="L4" s="18"/>
      <c r="M4" s="18"/>
      <c r="N4" s="18"/>
      <c r="O4" s="18"/>
      <c r="P4" s="18"/>
      <c r="Q4" s="18"/>
      <c r="R4" s="18"/>
      <c r="S4" s="18"/>
      <c r="T4" s="18"/>
      <c r="U4" s="18"/>
      <c r="V4" s="18"/>
      <c r="W4" s="18"/>
      <c r="X4" s="18"/>
      <c r="Y4" s="18"/>
      <c r="Z4" s="18"/>
    </row>
    <row r="5" spans="1:26" ht="28.5" customHeight="1" x14ac:dyDescent="0.25">
      <c r="A5" s="2" t="s">
        <v>439</v>
      </c>
      <c r="B5" s="2" t="s">
        <v>440</v>
      </c>
      <c r="C5" s="2" t="s">
        <v>201</v>
      </c>
      <c r="D5" s="108">
        <v>1512</v>
      </c>
      <c r="E5" s="108">
        <v>1559</v>
      </c>
      <c r="F5" s="3">
        <f t="shared" si="0"/>
        <v>-47</v>
      </c>
      <c r="G5" s="3">
        <f t="shared" si="1"/>
        <v>-3.0147530468248878</v>
      </c>
      <c r="H5" s="94"/>
      <c r="I5" s="54"/>
      <c r="J5" s="54"/>
      <c r="K5" s="54"/>
      <c r="L5" s="54"/>
      <c r="M5" s="54"/>
      <c r="N5" s="54"/>
      <c r="O5" s="54"/>
      <c r="P5" s="54"/>
      <c r="Q5" s="54"/>
      <c r="R5" s="54"/>
      <c r="S5" s="54"/>
      <c r="T5" s="54"/>
      <c r="U5" s="54"/>
      <c r="V5" s="54"/>
      <c r="W5" s="54"/>
      <c r="X5" s="54"/>
      <c r="Y5" s="54"/>
      <c r="Z5" s="54"/>
    </row>
    <row r="6" spans="1:26" ht="28.5" customHeight="1" x14ac:dyDescent="0.25">
      <c r="A6" s="2" t="s">
        <v>441</v>
      </c>
      <c r="B6" s="2" t="s">
        <v>442</v>
      </c>
      <c r="C6" s="109" t="s">
        <v>113</v>
      </c>
      <c r="D6" s="108">
        <v>1492</v>
      </c>
      <c r="E6" s="108">
        <v>1529</v>
      </c>
      <c r="F6" s="3">
        <f t="shared" si="0"/>
        <v>-37</v>
      </c>
      <c r="G6" s="3">
        <f t="shared" si="1"/>
        <v>-2.4198822759973839</v>
      </c>
      <c r="H6" s="94"/>
      <c r="I6" s="54"/>
      <c r="J6" s="54"/>
      <c r="K6" s="54"/>
      <c r="L6" s="54"/>
      <c r="M6" s="54"/>
      <c r="N6" s="54"/>
      <c r="O6" s="54"/>
      <c r="P6" s="54"/>
      <c r="Q6" s="54"/>
      <c r="R6" s="54"/>
      <c r="S6" s="54"/>
      <c r="T6" s="54"/>
      <c r="U6" s="54"/>
      <c r="V6" s="54"/>
      <c r="W6" s="54"/>
      <c r="X6" s="54"/>
      <c r="Y6" s="54"/>
      <c r="Z6" s="54"/>
    </row>
    <row r="7" spans="1:26" ht="28.5" customHeight="1" x14ac:dyDescent="0.25">
      <c r="A7" s="2" t="s">
        <v>443</v>
      </c>
      <c r="B7" s="2"/>
      <c r="C7" s="109"/>
      <c r="D7" s="108">
        <v>5083</v>
      </c>
      <c r="E7" s="108">
        <v>6663</v>
      </c>
      <c r="F7" s="3">
        <f t="shared" si="0"/>
        <v>-1580</v>
      </c>
      <c r="G7" s="3">
        <f t="shared" si="1"/>
        <v>-23.713042173195255</v>
      </c>
      <c r="H7" s="94"/>
      <c r="I7" s="54"/>
      <c r="J7" s="54"/>
      <c r="K7" s="54"/>
      <c r="L7" s="54"/>
      <c r="M7" s="54"/>
      <c r="N7" s="54"/>
      <c r="O7" s="54"/>
      <c r="P7" s="54"/>
      <c r="Q7" s="54"/>
      <c r="R7" s="54"/>
      <c r="S7" s="54"/>
      <c r="T7" s="54"/>
      <c r="U7" s="54"/>
      <c r="V7" s="54"/>
      <c r="W7" s="54"/>
      <c r="X7" s="54"/>
      <c r="Y7" s="54"/>
      <c r="Z7" s="54"/>
    </row>
    <row r="8" spans="1:26" ht="28.5" customHeight="1" x14ac:dyDescent="0.25">
      <c r="A8" s="110" t="s">
        <v>444</v>
      </c>
      <c r="B8" s="110"/>
      <c r="C8" s="110"/>
      <c r="D8" s="111">
        <v>14415</v>
      </c>
      <c r="E8" s="111">
        <v>13961</v>
      </c>
      <c r="F8" s="111">
        <f t="shared" si="0"/>
        <v>454</v>
      </c>
      <c r="G8" s="111">
        <f t="shared" si="1"/>
        <v>3.2519160518587489</v>
      </c>
      <c r="H8" s="94"/>
      <c r="I8" s="18"/>
      <c r="J8" s="18"/>
      <c r="K8" s="18"/>
      <c r="L8" s="18"/>
      <c r="M8" s="18"/>
      <c r="N8" s="18"/>
      <c r="O8" s="18"/>
      <c r="P8" s="18"/>
      <c r="Q8" s="18"/>
      <c r="R8" s="18"/>
      <c r="S8" s="18"/>
      <c r="T8" s="18"/>
      <c r="U8" s="18"/>
      <c r="V8" s="18"/>
      <c r="W8" s="18"/>
      <c r="X8" s="18"/>
      <c r="Y8" s="18"/>
      <c r="Z8" s="18"/>
    </row>
    <row r="9" spans="1:26" ht="28.5" customHeight="1" x14ac:dyDescent="0.25">
      <c r="A9" s="2" t="s">
        <v>445</v>
      </c>
      <c r="B9" s="2" t="s">
        <v>446</v>
      </c>
      <c r="C9" s="112" t="s">
        <v>89</v>
      </c>
      <c r="D9" s="3">
        <v>804</v>
      </c>
      <c r="E9" s="3">
        <v>740</v>
      </c>
      <c r="F9" s="3">
        <f t="shared" si="0"/>
        <v>64</v>
      </c>
      <c r="G9" s="3">
        <f t="shared" si="1"/>
        <v>8.6486486486486491</v>
      </c>
      <c r="H9" s="94"/>
      <c r="I9" s="18"/>
      <c r="J9" s="18"/>
      <c r="K9" s="18"/>
      <c r="L9" s="18"/>
      <c r="M9" s="18"/>
      <c r="N9" s="18"/>
      <c r="O9" s="18"/>
      <c r="P9" s="18"/>
      <c r="Q9" s="18"/>
      <c r="R9" s="18"/>
      <c r="S9" s="18"/>
      <c r="T9" s="18"/>
      <c r="U9" s="18"/>
      <c r="V9" s="18"/>
      <c r="W9" s="18"/>
      <c r="X9" s="18"/>
      <c r="Y9" s="18"/>
      <c r="Z9" s="18"/>
    </row>
    <row r="10" spans="1:26" ht="28.5" customHeight="1" x14ac:dyDescent="0.3">
      <c r="A10" s="2" t="s">
        <v>447</v>
      </c>
      <c r="B10" s="2" t="s">
        <v>448</v>
      </c>
      <c r="C10" s="112" t="s">
        <v>89</v>
      </c>
      <c r="D10" s="3">
        <v>406</v>
      </c>
      <c r="E10" s="3">
        <v>379</v>
      </c>
      <c r="F10" s="3">
        <f t="shared" si="0"/>
        <v>27</v>
      </c>
      <c r="G10" s="3">
        <f t="shared" si="1"/>
        <v>7.1240105540897103</v>
      </c>
      <c r="H10" s="87"/>
      <c r="I10" s="18"/>
      <c r="J10" s="18"/>
      <c r="K10" s="18"/>
      <c r="L10" s="18"/>
      <c r="M10" s="18"/>
      <c r="N10" s="18"/>
      <c r="O10" s="18"/>
      <c r="P10" s="18"/>
      <c r="Q10" s="18"/>
      <c r="R10" s="18"/>
      <c r="S10" s="18"/>
      <c r="T10" s="18"/>
      <c r="U10" s="18"/>
      <c r="V10" s="18"/>
      <c r="W10" s="18"/>
      <c r="X10" s="18"/>
      <c r="Y10" s="18"/>
      <c r="Z10" s="18"/>
    </row>
    <row r="11" spans="1:26" ht="28.5" customHeight="1" x14ac:dyDescent="0.25">
      <c r="A11" s="2" t="s">
        <v>449</v>
      </c>
      <c r="B11" s="2" t="s">
        <v>450</v>
      </c>
      <c r="C11" s="112" t="s">
        <v>89</v>
      </c>
      <c r="D11" s="3">
        <v>312</v>
      </c>
      <c r="E11" s="3">
        <v>318</v>
      </c>
      <c r="F11" s="3">
        <f t="shared" si="0"/>
        <v>-6</v>
      </c>
      <c r="G11" s="3">
        <f t="shared" si="1"/>
        <v>-1.8867924528301887</v>
      </c>
      <c r="H11" s="94"/>
      <c r="I11" s="18"/>
      <c r="J11" s="18"/>
      <c r="K11" s="18"/>
      <c r="L11" s="18"/>
      <c r="M11" s="18"/>
      <c r="N11" s="18"/>
      <c r="O11" s="18"/>
      <c r="P11" s="18"/>
      <c r="Q11" s="18"/>
      <c r="R11" s="18"/>
      <c r="S11" s="18"/>
      <c r="T11" s="18"/>
      <c r="U11" s="18"/>
      <c r="V11" s="18"/>
      <c r="W11" s="18"/>
      <c r="X11" s="18"/>
      <c r="Y11" s="18"/>
      <c r="Z11" s="18"/>
    </row>
    <row r="12" spans="1:26" ht="28.5" customHeight="1" x14ac:dyDescent="0.25">
      <c r="A12" s="2" t="s">
        <v>451</v>
      </c>
      <c r="B12" s="4" t="s">
        <v>452</v>
      </c>
      <c r="C12" s="2" t="s">
        <v>239</v>
      </c>
      <c r="D12" s="3">
        <v>264</v>
      </c>
      <c r="E12" s="3">
        <v>238</v>
      </c>
      <c r="F12" s="3">
        <f t="shared" si="0"/>
        <v>26</v>
      </c>
      <c r="G12" s="3">
        <f t="shared" si="1"/>
        <v>10.92436974789916</v>
      </c>
      <c r="H12" s="94"/>
      <c r="I12" s="18"/>
      <c r="J12" s="18"/>
      <c r="K12" s="18"/>
      <c r="L12" s="18"/>
      <c r="M12" s="18"/>
      <c r="N12" s="18"/>
      <c r="O12" s="18"/>
      <c r="P12" s="18"/>
      <c r="Q12" s="18"/>
      <c r="R12" s="18"/>
      <c r="S12" s="18"/>
      <c r="T12" s="18"/>
      <c r="U12" s="18"/>
      <c r="V12" s="18"/>
      <c r="W12" s="18"/>
      <c r="X12" s="18"/>
      <c r="Y12" s="18"/>
      <c r="Z12" s="18"/>
    </row>
    <row r="13" spans="1:26" ht="28.5" customHeight="1" x14ac:dyDescent="0.25">
      <c r="A13" s="2" t="s">
        <v>443</v>
      </c>
      <c r="B13" s="2"/>
      <c r="C13" s="2"/>
      <c r="D13" s="3">
        <v>2335</v>
      </c>
      <c r="E13" s="3">
        <v>2360</v>
      </c>
      <c r="F13" s="3">
        <f t="shared" si="0"/>
        <v>-25</v>
      </c>
      <c r="G13" s="3">
        <f t="shared" si="1"/>
        <v>-1.0593220338983049</v>
      </c>
      <c r="H13" s="94"/>
      <c r="I13" s="18"/>
      <c r="J13" s="18"/>
      <c r="K13" s="18"/>
      <c r="L13" s="18"/>
      <c r="M13" s="18"/>
      <c r="N13" s="18"/>
      <c r="O13" s="18"/>
      <c r="P13" s="18"/>
      <c r="Q13" s="18"/>
      <c r="R13" s="18"/>
      <c r="S13" s="18"/>
      <c r="T13" s="18"/>
      <c r="U13" s="18"/>
      <c r="V13" s="18"/>
      <c r="W13" s="18"/>
      <c r="X13" s="18"/>
      <c r="Y13" s="18"/>
      <c r="Z13" s="18"/>
    </row>
    <row r="14" spans="1:26" ht="28.5" customHeight="1" x14ac:dyDescent="0.25">
      <c r="A14" s="110" t="s">
        <v>347</v>
      </c>
      <c r="B14" s="110"/>
      <c r="C14" s="110"/>
      <c r="D14" s="111">
        <v>4121</v>
      </c>
      <c r="E14" s="111">
        <v>4035</v>
      </c>
      <c r="F14" s="111">
        <f t="shared" si="0"/>
        <v>86</v>
      </c>
      <c r="G14" s="111">
        <f t="shared" si="1"/>
        <v>2.131350681536555</v>
      </c>
      <c r="H14" s="94"/>
      <c r="I14" s="18"/>
      <c r="J14" s="18"/>
      <c r="K14" s="18"/>
      <c r="L14" s="18"/>
      <c r="M14" s="18"/>
      <c r="N14" s="18"/>
      <c r="O14" s="18"/>
      <c r="P14" s="18"/>
      <c r="Q14" s="18"/>
      <c r="R14" s="18"/>
      <c r="S14" s="18"/>
      <c r="T14" s="18"/>
      <c r="U14" s="18"/>
      <c r="V14" s="18"/>
      <c r="W14" s="18"/>
      <c r="X14" s="18"/>
      <c r="Y14" s="18"/>
      <c r="Z14" s="18"/>
    </row>
    <row r="15" spans="1:26" ht="28.5" customHeight="1" x14ac:dyDescent="0.25">
      <c r="A15" s="2" t="s">
        <v>453</v>
      </c>
      <c r="B15" s="2"/>
      <c r="C15" s="2"/>
      <c r="D15" s="3">
        <v>837</v>
      </c>
      <c r="E15" s="3">
        <v>786</v>
      </c>
      <c r="F15" s="3">
        <f t="shared" si="0"/>
        <v>51</v>
      </c>
      <c r="G15" s="3">
        <f t="shared" si="1"/>
        <v>6.4885496183206106</v>
      </c>
      <c r="H15" s="94"/>
      <c r="I15" s="18"/>
      <c r="J15" s="18"/>
      <c r="K15" s="18"/>
      <c r="L15" s="18"/>
      <c r="M15" s="18"/>
      <c r="N15" s="18"/>
      <c r="O15" s="18"/>
      <c r="P15" s="18"/>
      <c r="Q15" s="18"/>
      <c r="R15" s="18"/>
      <c r="S15" s="18"/>
      <c r="T15" s="18"/>
      <c r="U15" s="18"/>
      <c r="V15" s="18"/>
      <c r="W15" s="18"/>
      <c r="X15" s="18"/>
      <c r="Y15" s="18"/>
      <c r="Z15" s="18"/>
    </row>
    <row r="16" spans="1:26" ht="28.5" customHeight="1" x14ac:dyDescent="0.25">
      <c r="A16" s="2" t="s">
        <v>443</v>
      </c>
      <c r="B16" s="2"/>
      <c r="C16" s="2"/>
      <c r="D16" s="3">
        <v>33</v>
      </c>
      <c r="E16" s="3">
        <v>41</v>
      </c>
      <c r="F16" s="3">
        <f t="shared" si="0"/>
        <v>-8</v>
      </c>
      <c r="G16" s="3">
        <f t="shared" si="1"/>
        <v>-19.512195121951219</v>
      </c>
      <c r="H16" s="94"/>
      <c r="I16" s="18"/>
      <c r="J16" s="18"/>
      <c r="K16" s="18"/>
      <c r="L16" s="18"/>
      <c r="M16" s="18"/>
      <c r="N16" s="18"/>
      <c r="O16" s="18"/>
      <c r="P16" s="18"/>
      <c r="Q16" s="18"/>
      <c r="R16" s="18"/>
      <c r="S16" s="18"/>
      <c r="T16" s="18"/>
      <c r="U16" s="18"/>
      <c r="V16" s="18"/>
      <c r="W16" s="18"/>
      <c r="X16" s="18"/>
      <c r="Y16" s="18"/>
      <c r="Z16" s="18"/>
    </row>
    <row r="17" spans="1:26" ht="28.5" customHeight="1" x14ac:dyDescent="0.25">
      <c r="A17" s="2" t="s">
        <v>454</v>
      </c>
      <c r="B17" s="2"/>
      <c r="C17" s="2"/>
      <c r="D17" s="3">
        <v>160</v>
      </c>
      <c r="E17" s="3">
        <v>174</v>
      </c>
      <c r="F17" s="3">
        <f t="shared" si="0"/>
        <v>-14</v>
      </c>
      <c r="G17" s="3">
        <f t="shared" si="1"/>
        <v>-8.0459770114942533</v>
      </c>
      <c r="H17" s="94"/>
      <c r="I17" s="18"/>
      <c r="J17" s="18"/>
      <c r="K17" s="18"/>
      <c r="L17" s="18"/>
      <c r="M17" s="18"/>
      <c r="N17" s="18"/>
      <c r="O17" s="18"/>
      <c r="P17" s="18"/>
      <c r="Q17" s="18"/>
      <c r="R17" s="18"/>
      <c r="S17" s="18"/>
      <c r="T17" s="18"/>
      <c r="U17" s="18"/>
      <c r="V17" s="18"/>
      <c r="W17" s="18"/>
      <c r="X17" s="18"/>
      <c r="Y17" s="18"/>
      <c r="Z17" s="18"/>
    </row>
    <row r="18" spans="1:26" ht="28.5" customHeight="1" x14ac:dyDescent="0.25">
      <c r="A18" s="110" t="s">
        <v>455</v>
      </c>
      <c r="B18" s="110"/>
      <c r="C18" s="110"/>
      <c r="D18" s="111">
        <v>19566</v>
      </c>
      <c r="E18" s="111">
        <v>18997</v>
      </c>
      <c r="F18" s="111">
        <f t="shared" si="0"/>
        <v>569</v>
      </c>
      <c r="G18" s="111">
        <f t="shared" si="1"/>
        <v>2.9952097699636786</v>
      </c>
      <c r="H18" s="94"/>
      <c r="I18" s="18"/>
      <c r="J18" s="18"/>
      <c r="K18" s="18"/>
      <c r="L18" s="18"/>
      <c r="M18" s="18"/>
      <c r="N18" s="18"/>
      <c r="O18" s="18"/>
      <c r="P18" s="18"/>
      <c r="Q18" s="18"/>
      <c r="R18" s="18"/>
      <c r="S18" s="18"/>
      <c r="T18" s="18"/>
      <c r="U18" s="18"/>
      <c r="V18" s="18"/>
      <c r="W18" s="18"/>
      <c r="X18" s="18"/>
      <c r="Y18" s="18"/>
      <c r="Z18" s="18"/>
    </row>
    <row r="19" spans="1:26" ht="28.5" customHeight="1" x14ac:dyDescent="0.25">
      <c r="A19" s="110" t="s">
        <v>101</v>
      </c>
      <c r="B19" s="110"/>
      <c r="C19" s="110"/>
      <c r="D19" s="111">
        <v>23254</v>
      </c>
      <c r="E19" s="111">
        <v>21272</v>
      </c>
      <c r="F19" s="111">
        <f t="shared" si="0"/>
        <v>1982</v>
      </c>
      <c r="G19" s="111">
        <f t="shared" si="1"/>
        <v>9.3174125611131995</v>
      </c>
      <c r="H19" s="94"/>
      <c r="I19" s="54"/>
      <c r="J19" s="54"/>
      <c r="K19" s="54"/>
      <c r="L19" s="54"/>
      <c r="M19" s="54"/>
      <c r="N19" s="54"/>
      <c r="O19" s="54"/>
      <c r="P19" s="54"/>
      <c r="Q19" s="54"/>
      <c r="R19" s="54"/>
      <c r="S19" s="54"/>
      <c r="T19" s="54"/>
      <c r="U19" s="54"/>
      <c r="V19" s="54"/>
      <c r="W19" s="54"/>
      <c r="X19" s="54"/>
      <c r="Y19" s="54"/>
      <c r="Z19" s="54"/>
    </row>
  </sheetData>
  <pageMargins left="0.7" right="0.7" top="0.75" bottom="0.75" header="0" footer="0"/>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2A5DB0"/>
  </sheetPr>
  <dimension ref="A1:U20"/>
  <sheetViews>
    <sheetView workbookViewId="0">
      <pane ySplit="1" topLeftCell="A2" activePane="bottomLeft" state="frozen"/>
      <selection pane="bottomLeft"/>
    </sheetView>
  </sheetViews>
  <sheetFormatPr defaultColWidth="14.44140625" defaultRowHeight="15.75" customHeight="1" x14ac:dyDescent="0.25"/>
  <cols>
    <col min="1" max="1" width="28.77734375" customWidth="1"/>
    <col min="2" max="2" width="20.33203125" customWidth="1"/>
    <col min="3" max="3" width="26.109375" customWidth="1"/>
    <col min="4" max="4" width="16.44140625" customWidth="1"/>
    <col min="5" max="6" width="17.44140625" customWidth="1"/>
    <col min="7" max="7" width="13.5546875" customWidth="1"/>
    <col min="8" max="8" width="17.88671875" customWidth="1"/>
    <col min="9" max="9" width="14.44140625" customWidth="1"/>
    <col min="10" max="10" width="15.6640625" customWidth="1"/>
    <col min="11" max="11" width="12.5546875" customWidth="1"/>
    <col min="12" max="18" width="9.109375" customWidth="1"/>
  </cols>
  <sheetData>
    <row r="1" spans="1:21" ht="34.5" customHeight="1" x14ac:dyDescent="0.25">
      <c r="A1" s="46" t="s">
        <v>1723</v>
      </c>
      <c r="B1" s="47" t="s">
        <v>10</v>
      </c>
      <c r="C1" s="47" t="s">
        <v>11</v>
      </c>
      <c r="D1" s="48" t="s">
        <v>1678</v>
      </c>
      <c r="E1" s="47" t="s">
        <v>1686</v>
      </c>
      <c r="F1" s="8" t="s">
        <v>1687</v>
      </c>
      <c r="G1" s="48" t="s">
        <v>1678</v>
      </c>
      <c r="H1" s="47" t="s">
        <v>1686</v>
      </c>
      <c r="I1" s="47" t="s">
        <v>1688</v>
      </c>
      <c r="J1" s="47" t="s">
        <v>1682</v>
      </c>
      <c r="K1" s="48" t="s">
        <v>1683</v>
      </c>
      <c r="L1" s="18"/>
      <c r="M1" s="18"/>
      <c r="N1" s="18"/>
      <c r="O1" s="18"/>
      <c r="P1" s="18"/>
      <c r="Q1" s="18"/>
      <c r="R1" s="18"/>
    </row>
    <row r="2" spans="1:21" ht="28.5" customHeight="1" x14ac:dyDescent="0.25">
      <c r="A2" s="24" t="s">
        <v>1675</v>
      </c>
      <c r="B2" s="11" t="s">
        <v>1724</v>
      </c>
      <c r="C2" s="11" t="s">
        <v>49</v>
      </c>
      <c r="D2" s="50">
        <v>8291</v>
      </c>
      <c r="E2" s="50">
        <v>3815</v>
      </c>
      <c r="F2" s="51">
        <v>12106</v>
      </c>
      <c r="G2" s="50">
        <v>899</v>
      </c>
      <c r="H2" s="50">
        <v>400</v>
      </c>
      <c r="I2" s="51">
        <v>9378</v>
      </c>
      <c r="J2" s="51">
        <f t="shared" ref="J2:J20" si="0">F2-I2</f>
        <v>2728</v>
      </c>
      <c r="K2" s="51">
        <f t="shared" ref="K2:K10" si="1">(J2/I2)*100</f>
        <v>29.089358072083598</v>
      </c>
      <c r="L2" s="18"/>
      <c r="M2" s="18"/>
      <c r="N2" s="18"/>
      <c r="O2" s="18"/>
      <c r="P2" s="18"/>
      <c r="Q2" s="18"/>
      <c r="R2" s="18"/>
    </row>
    <row r="3" spans="1:21" ht="27.75" customHeight="1" x14ac:dyDescent="0.25">
      <c r="A3" s="51" t="s">
        <v>457</v>
      </c>
      <c r="B3" s="51" t="s">
        <v>458</v>
      </c>
      <c r="C3" s="51" t="s">
        <v>129</v>
      </c>
      <c r="D3" s="51">
        <v>5485</v>
      </c>
      <c r="E3" s="51">
        <v>3683</v>
      </c>
      <c r="F3" s="51">
        <v>9168</v>
      </c>
      <c r="G3" s="51">
        <v>4755</v>
      </c>
      <c r="H3" s="51">
        <v>3174</v>
      </c>
      <c r="I3" s="51">
        <v>7929</v>
      </c>
      <c r="J3" s="51">
        <f t="shared" si="0"/>
        <v>1239</v>
      </c>
      <c r="K3" s="51">
        <f t="shared" si="1"/>
        <v>15.626182368520618</v>
      </c>
      <c r="L3" s="18"/>
      <c r="M3" s="18"/>
      <c r="N3" s="18"/>
      <c r="O3" s="18"/>
      <c r="P3" s="18"/>
      <c r="Q3" s="18"/>
      <c r="R3" s="18"/>
    </row>
    <row r="4" spans="1:21" ht="28.5" customHeight="1" x14ac:dyDescent="0.25">
      <c r="A4" s="51" t="s">
        <v>459</v>
      </c>
      <c r="B4" s="51" t="s">
        <v>460</v>
      </c>
      <c r="C4" s="51" t="s">
        <v>49</v>
      </c>
      <c r="D4" s="51">
        <v>3945</v>
      </c>
      <c r="E4" s="51">
        <v>3047</v>
      </c>
      <c r="F4" s="51">
        <v>6992</v>
      </c>
      <c r="G4" s="51">
        <v>4344</v>
      </c>
      <c r="H4" s="51">
        <v>2860</v>
      </c>
      <c r="I4" s="51">
        <v>7204</v>
      </c>
      <c r="J4" s="51">
        <f t="shared" si="0"/>
        <v>-212</v>
      </c>
      <c r="K4" s="51">
        <f t="shared" si="1"/>
        <v>-2.9428095502498612</v>
      </c>
      <c r="L4" s="18"/>
      <c r="M4" s="18"/>
      <c r="N4" s="18"/>
      <c r="O4" s="18"/>
      <c r="P4" s="18"/>
      <c r="Q4" s="18"/>
      <c r="R4" s="18"/>
    </row>
    <row r="5" spans="1:21" ht="28.5" customHeight="1" x14ac:dyDescent="0.25">
      <c r="A5" s="51" t="s">
        <v>461</v>
      </c>
      <c r="B5" s="51" t="s">
        <v>462</v>
      </c>
      <c r="C5" s="51" t="s">
        <v>43</v>
      </c>
      <c r="D5" s="50">
        <v>2268</v>
      </c>
      <c r="E5" s="51">
        <v>889</v>
      </c>
      <c r="F5" s="51">
        <v>3157</v>
      </c>
      <c r="G5" s="50">
        <v>2146</v>
      </c>
      <c r="H5" s="50">
        <v>831</v>
      </c>
      <c r="I5" s="51">
        <v>2977</v>
      </c>
      <c r="J5" s="51">
        <f t="shared" si="0"/>
        <v>180</v>
      </c>
      <c r="K5" s="51">
        <f t="shared" si="1"/>
        <v>6.0463553913335568</v>
      </c>
      <c r="L5" s="18"/>
      <c r="M5" s="18"/>
      <c r="N5" s="18"/>
      <c r="O5" s="18"/>
      <c r="P5" s="18"/>
      <c r="Q5" s="18"/>
      <c r="R5" s="18"/>
    </row>
    <row r="6" spans="1:21" ht="28.5" customHeight="1" x14ac:dyDescent="0.25">
      <c r="A6" s="11" t="s">
        <v>463</v>
      </c>
      <c r="B6" s="11" t="s">
        <v>464</v>
      </c>
      <c r="C6" s="11" t="s">
        <v>49</v>
      </c>
      <c r="D6" s="51">
        <v>2136</v>
      </c>
      <c r="E6" s="51">
        <v>934</v>
      </c>
      <c r="F6" s="51">
        <v>3070</v>
      </c>
      <c r="G6" s="51">
        <v>226</v>
      </c>
      <c r="H6" s="51">
        <v>96</v>
      </c>
      <c r="I6" s="51">
        <v>2162</v>
      </c>
      <c r="J6" s="51">
        <f t="shared" si="0"/>
        <v>908</v>
      </c>
      <c r="K6" s="51">
        <f t="shared" si="1"/>
        <v>41.99814986123959</v>
      </c>
      <c r="L6" s="18"/>
      <c r="M6" s="18"/>
      <c r="N6" s="18"/>
      <c r="O6" s="18"/>
      <c r="P6" s="18"/>
      <c r="Q6" s="18"/>
      <c r="R6" s="18"/>
    </row>
    <row r="7" spans="1:21" ht="28.5" customHeight="1" x14ac:dyDescent="0.25">
      <c r="A7" s="51" t="s">
        <v>465</v>
      </c>
      <c r="B7" s="51" t="s">
        <v>466</v>
      </c>
      <c r="C7" s="51" t="s">
        <v>49</v>
      </c>
      <c r="D7" s="51">
        <v>1295</v>
      </c>
      <c r="E7" s="51">
        <v>845</v>
      </c>
      <c r="F7" s="51">
        <v>2140</v>
      </c>
      <c r="G7" s="51">
        <v>1191</v>
      </c>
      <c r="H7" s="51">
        <v>919</v>
      </c>
      <c r="I7" s="51">
        <v>2110</v>
      </c>
      <c r="J7" s="51">
        <f t="shared" si="0"/>
        <v>30</v>
      </c>
      <c r="K7" s="51">
        <f t="shared" si="1"/>
        <v>1.4218009478672986</v>
      </c>
      <c r="L7" s="18"/>
      <c r="M7" s="18"/>
      <c r="N7" s="18"/>
      <c r="O7" s="18"/>
      <c r="P7" s="18"/>
      <c r="Q7" s="18"/>
      <c r="R7" s="18"/>
    </row>
    <row r="8" spans="1:21" ht="28.5" customHeight="1" x14ac:dyDescent="0.25">
      <c r="A8" s="51" t="s">
        <v>467</v>
      </c>
      <c r="B8" s="51" t="s">
        <v>468</v>
      </c>
      <c r="C8" s="51" t="s">
        <v>49</v>
      </c>
      <c r="D8" s="51">
        <v>1124</v>
      </c>
      <c r="E8" s="51">
        <v>558</v>
      </c>
      <c r="F8" s="51">
        <v>1682</v>
      </c>
      <c r="G8" s="51">
        <v>1004</v>
      </c>
      <c r="H8" s="51">
        <v>485</v>
      </c>
      <c r="I8" s="51">
        <v>1489</v>
      </c>
      <c r="J8" s="51">
        <f t="shared" si="0"/>
        <v>193</v>
      </c>
      <c r="K8" s="51">
        <f t="shared" si="1"/>
        <v>12.961719274680995</v>
      </c>
      <c r="L8" s="18"/>
      <c r="M8" s="18"/>
      <c r="N8" s="18"/>
      <c r="O8" s="18"/>
      <c r="P8" s="18"/>
      <c r="Q8" s="18"/>
      <c r="R8" s="18"/>
    </row>
    <row r="9" spans="1:21" ht="28.5" customHeight="1" x14ac:dyDescent="0.25">
      <c r="A9" s="11" t="s">
        <v>469</v>
      </c>
      <c r="B9" s="11" t="s">
        <v>470</v>
      </c>
      <c r="C9" s="11" t="s">
        <v>49</v>
      </c>
      <c r="D9" s="50">
        <v>873</v>
      </c>
      <c r="E9" s="50">
        <v>374</v>
      </c>
      <c r="F9" s="51">
        <v>1247</v>
      </c>
      <c r="G9" s="50">
        <v>122</v>
      </c>
      <c r="H9" s="50">
        <v>44</v>
      </c>
      <c r="I9" s="51">
        <v>1086</v>
      </c>
      <c r="J9" s="51">
        <f t="shared" si="0"/>
        <v>161</v>
      </c>
      <c r="K9" s="51">
        <f t="shared" si="1"/>
        <v>14.825046040515655</v>
      </c>
      <c r="L9" s="18"/>
      <c r="M9" s="18"/>
      <c r="N9" s="18"/>
      <c r="O9" s="18"/>
      <c r="P9" s="18"/>
      <c r="Q9" s="18"/>
      <c r="R9" s="18"/>
      <c r="S9" s="113"/>
      <c r="T9" s="113"/>
      <c r="U9" s="113"/>
    </row>
    <row r="10" spans="1:21" ht="28.5" customHeight="1" x14ac:dyDescent="0.25">
      <c r="A10" s="51" t="s">
        <v>471</v>
      </c>
      <c r="B10" s="51" t="s">
        <v>472</v>
      </c>
      <c r="C10" s="51" t="s">
        <v>49</v>
      </c>
      <c r="D10" s="51">
        <v>230</v>
      </c>
      <c r="E10" s="51">
        <v>151</v>
      </c>
      <c r="F10" s="51">
        <v>381</v>
      </c>
      <c r="G10" s="51">
        <v>246</v>
      </c>
      <c r="H10" s="51">
        <v>111</v>
      </c>
      <c r="I10" s="51">
        <v>357</v>
      </c>
      <c r="J10" s="51">
        <f t="shared" si="0"/>
        <v>24</v>
      </c>
      <c r="K10" s="51">
        <f t="shared" si="1"/>
        <v>6.7226890756302522</v>
      </c>
      <c r="L10" s="18"/>
      <c r="M10" s="18"/>
      <c r="N10" s="18"/>
      <c r="O10" s="18"/>
      <c r="P10" s="18"/>
      <c r="Q10" s="18"/>
      <c r="R10" s="18"/>
    </row>
    <row r="11" spans="1:21" ht="28.5" customHeight="1" x14ac:dyDescent="0.25">
      <c r="A11" s="24" t="s">
        <v>473</v>
      </c>
      <c r="B11" s="11" t="s">
        <v>474</v>
      </c>
      <c r="C11" s="11" t="s">
        <v>113</v>
      </c>
      <c r="D11" s="50">
        <v>259</v>
      </c>
      <c r="E11" s="50">
        <v>15</v>
      </c>
      <c r="F11" s="51">
        <v>274</v>
      </c>
      <c r="G11" s="50">
        <v>0</v>
      </c>
      <c r="H11" s="50">
        <v>0</v>
      </c>
      <c r="I11" s="51">
        <v>0</v>
      </c>
      <c r="J11" s="51">
        <f t="shared" si="0"/>
        <v>274</v>
      </c>
      <c r="K11" s="51" t="s">
        <v>67</v>
      </c>
      <c r="L11" s="18"/>
      <c r="M11" s="18"/>
      <c r="N11" s="18"/>
      <c r="O11" s="18"/>
      <c r="P11" s="18"/>
      <c r="Q11" s="18"/>
      <c r="R11" s="18"/>
    </row>
    <row r="12" spans="1:21" ht="28.5" customHeight="1" x14ac:dyDescent="0.25">
      <c r="A12" s="51" t="s">
        <v>475</v>
      </c>
      <c r="B12" s="51" t="s">
        <v>476</v>
      </c>
      <c r="C12" s="51" t="s">
        <v>49</v>
      </c>
      <c r="D12" s="51">
        <v>55</v>
      </c>
      <c r="E12" s="51">
        <v>0</v>
      </c>
      <c r="F12" s="51">
        <v>55</v>
      </c>
      <c r="G12" s="51">
        <v>5</v>
      </c>
      <c r="H12" s="51">
        <v>0</v>
      </c>
      <c r="I12" s="51">
        <v>7</v>
      </c>
      <c r="J12" s="51">
        <f t="shared" si="0"/>
        <v>48</v>
      </c>
      <c r="K12" s="51">
        <f>(J12/I12)*100</f>
        <v>685.71428571428567</v>
      </c>
      <c r="L12" s="18"/>
      <c r="M12" s="18"/>
      <c r="N12" s="18"/>
      <c r="O12" s="18"/>
      <c r="P12" s="18"/>
      <c r="Q12" s="18"/>
      <c r="R12" s="18"/>
    </row>
    <row r="13" spans="1:21" ht="28.5" customHeight="1" x14ac:dyDescent="0.25">
      <c r="A13" s="24" t="s">
        <v>477</v>
      </c>
      <c r="B13" s="11" t="s">
        <v>478</v>
      </c>
      <c r="C13" s="51" t="s">
        <v>49</v>
      </c>
      <c r="D13" s="50">
        <v>17</v>
      </c>
      <c r="E13" s="50">
        <v>0</v>
      </c>
      <c r="F13" s="51">
        <v>17</v>
      </c>
      <c r="G13" s="50">
        <v>0</v>
      </c>
      <c r="H13" s="50">
        <v>0</v>
      </c>
      <c r="I13" s="51">
        <v>0</v>
      </c>
      <c r="J13" s="51">
        <f t="shared" si="0"/>
        <v>17</v>
      </c>
      <c r="K13" s="51" t="s">
        <v>67</v>
      </c>
      <c r="L13" s="18"/>
      <c r="M13" s="18"/>
      <c r="N13" s="18"/>
      <c r="O13" s="18"/>
      <c r="P13" s="18"/>
      <c r="Q13" s="18"/>
      <c r="R13" s="18"/>
    </row>
    <row r="14" spans="1:21" ht="28.5" customHeight="1" x14ac:dyDescent="0.25">
      <c r="A14" s="24" t="s">
        <v>479</v>
      </c>
      <c r="B14" s="11" t="s">
        <v>480</v>
      </c>
      <c r="C14" s="11" t="s">
        <v>481</v>
      </c>
      <c r="D14" s="50">
        <v>10</v>
      </c>
      <c r="E14" s="50">
        <v>2</v>
      </c>
      <c r="F14" s="51">
        <v>12</v>
      </c>
      <c r="G14" s="50">
        <v>0</v>
      </c>
      <c r="H14" s="50">
        <v>0</v>
      </c>
      <c r="I14" s="51">
        <v>0</v>
      </c>
      <c r="J14" s="51">
        <f t="shared" si="0"/>
        <v>12</v>
      </c>
      <c r="K14" s="51" t="s">
        <v>67</v>
      </c>
      <c r="L14" s="18"/>
      <c r="M14" s="18"/>
      <c r="N14" s="18"/>
      <c r="O14" s="18"/>
      <c r="P14" s="18"/>
      <c r="Q14" s="18"/>
      <c r="R14" s="18"/>
    </row>
    <row r="15" spans="1:21" ht="28.5" customHeight="1" x14ac:dyDescent="0.25">
      <c r="A15" s="30" t="s">
        <v>482</v>
      </c>
      <c r="B15" s="26"/>
      <c r="C15" s="26"/>
      <c r="D15" s="92">
        <v>5999</v>
      </c>
      <c r="E15" s="92">
        <v>2879</v>
      </c>
      <c r="F15" s="19">
        <v>8878</v>
      </c>
      <c r="G15" s="92">
        <v>14938</v>
      </c>
      <c r="H15" s="92">
        <v>8920</v>
      </c>
      <c r="I15" s="19">
        <v>23858</v>
      </c>
      <c r="J15" s="19">
        <f t="shared" si="0"/>
        <v>-14980</v>
      </c>
      <c r="K15" s="19">
        <f t="shared" ref="K15:K20" si="2">(J15/I15)*100</f>
        <v>-62.788163299522168</v>
      </c>
      <c r="L15" s="18"/>
      <c r="M15" s="18"/>
      <c r="N15" s="18"/>
      <c r="O15" s="18"/>
      <c r="P15" s="18"/>
      <c r="Q15" s="18"/>
      <c r="R15" s="18"/>
    </row>
    <row r="16" spans="1:21" ht="28.5" customHeight="1" x14ac:dyDescent="0.25">
      <c r="A16" s="11" t="s">
        <v>483</v>
      </c>
      <c r="B16" s="11" t="s">
        <v>478</v>
      </c>
      <c r="C16" s="11" t="s">
        <v>49</v>
      </c>
      <c r="D16" s="50">
        <v>2</v>
      </c>
      <c r="E16" s="50">
        <v>453</v>
      </c>
      <c r="F16" s="51">
        <v>455</v>
      </c>
      <c r="G16" s="50">
        <v>57</v>
      </c>
      <c r="H16" s="50">
        <v>1</v>
      </c>
      <c r="I16" s="51">
        <v>521</v>
      </c>
      <c r="J16" s="51">
        <f t="shared" si="0"/>
        <v>-66</v>
      </c>
      <c r="K16" s="51">
        <f t="shared" si="2"/>
        <v>-12.667946257197697</v>
      </c>
      <c r="L16" s="18"/>
      <c r="M16" s="18"/>
      <c r="N16" s="18"/>
      <c r="O16" s="18"/>
      <c r="P16" s="18"/>
      <c r="Q16" s="18"/>
      <c r="R16" s="18"/>
      <c r="S16" s="113"/>
      <c r="T16" s="113"/>
      <c r="U16" s="113"/>
    </row>
    <row r="17" spans="1:18" ht="28.5" customHeight="1" x14ac:dyDescent="0.25">
      <c r="A17" s="51" t="s">
        <v>484</v>
      </c>
      <c r="B17" s="51" t="s">
        <v>485</v>
      </c>
      <c r="C17" s="51" t="s">
        <v>89</v>
      </c>
      <c r="D17" s="51">
        <v>12</v>
      </c>
      <c r="E17" s="50">
        <v>435</v>
      </c>
      <c r="F17" s="51">
        <v>447</v>
      </c>
      <c r="G17" s="51">
        <v>20</v>
      </c>
      <c r="H17" s="51">
        <v>535</v>
      </c>
      <c r="I17" s="51">
        <v>555</v>
      </c>
      <c r="J17" s="51">
        <f t="shared" si="0"/>
        <v>-108</v>
      </c>
      <c r="K17" s="51">
        <f t="shared" si="2"/>
        <v>-19.45945945945946</v>
      </c>
      <c r="L17" s="18"/>
      <c r="M17" s="18"/>
      <c r="N17" s="18"/>
      <c r="O17" s="18"/>
      <c r="P17" s="18"/>
      <c r="Q17" s="18"/>
      <c r="R17" s="18"/>
    </row>
    <row r="18" spans="1:18" ht="28.5" customHeight="1" x14ac:dyDescent="0.25">
      <c r="A18" s="51" t="s">
        <v>486</v>
      </c>
      <c r="B18" s="51"/>
      <c r="C18" s="51"/>
      <c r="D18" s="51">
        <v>575</v>
      </c>
      <c r="E18" s="51">
        <v>740</v>
      </c>
      <c r="F18" s="51">
        <v>1315</v>
      </c>
      <c r="G18" s="51">
        <v>383</v>
      </c>
      <c r="H18" s="51">
        <v>1291</v>
      </c>
      <c r="I18" s="51">
        <v>1674</v>
      </c>
      <c r="J18" s="51">
        <f t="shared" si="0"/>
        <v>-359</v>
      </c>
      <c r="K18" s="51">
        <f t="shared" si="2"/>
        <v>-21.44563918757467</v>
      </c>
      <c r="L18" s="18"/>
      <c r="M18" s="18"/>
      <c r="N18" s="18"/>
      <c r="O18" s="18"/>
      <c r="P18" s="18"/>
      <c r="Q18" s="18"/>
      <c r="R18" s="18"/>
    </row>
    <row r="19" spans="1:18" ht="28.5" customHeight="1" x14ac:dyDescent="0.25">
      <c r="A19" s="30" t="s">
        <v>487</v>
      </c>
      <c r="B19" s="26"/>
      <c r="C19" s="26"/>
      <c r="D19" s="92">
        <v>589</v>
      </c>
      <c r="E19" s="92">
        <v>1628</v>
      </c>
      <c r="F19" s="19">
        <v>2217</v>
      </c>
      <c r="G19" s="92">
        <v>460</v>
      </c>
      <c r="H19" s="92">
        <v>1827</v>
      </c>
      <c r="I19" s="19">
        <v>2287</v>
      </c>
      <c r="J19" s="19">
        <f t="shared" si="0"/>
        <v>-70</v>
      </c>
      <c r="K19" s="19">
        <f t="shared" si="2"/>
        <v>-3.0607783121993881</v>
      </c>
      <c r="L19" s="18"/>
      <c r="M19" s="18"/>
      <c r="N19" s="18"/>
      <c r="O19" s="18"/>
      <c r="P19" s="18"/>
      <c r="Q19" s="18"/>
      <c r="R19" s="18"/>
    </row>
    <row r="20" spans="1:18" ht="28.5" customHeight="1" x14ac:dyDescent="0.25">
      <c r="A20" s="22" t="s">
        <v>101</v>
      </c>
      <c r="B20" s="19"/>
      <c r="C20" s="19"/>
      <c r="D20" s="92">
        <v>26577</v>
      </c>
      <c r="E20" s="92">
        <v>15941</v>
      </c>
      <c r="F20" s="19">
        <v>42518</v>
      </c>
      <c r="G20" s="19">
        <v>15342</v>
      </c>
      <c r="H20" s="19">
        <v>10803</v>
      </c>
      <c r="I20" s="19">
        <v>39090</v>
      </c>
      <c r="J20" s="19">
        <f t="shared" si="0"/>
        <v>3428</v>
      </c>
      <c r="K20" s="19">
        <f t="shared" si="2"/>
        <v>8.7695062675876176</v>
      </c>
      <c r="L20" s="54"/>
      <c r="M20" s="54"/>
      <c r="N20" s="54"/>
      <c r="O20" s="54"/>
      <c r="P20" s="54"/>
      <c r="Q20" s="54"/>
      <c r="R20" s="54"/>
    </row>
  </sheetData>
  <pageMargins left="0.7" right="0.7" top="0.75" bottom="0.75" header="0" footer="0"/>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2A5DB0"/>
  </sheetPr>
  <dimension ref="A1:Z10"/>
  <sheetViews>
    <sheetView workbookViewId="0">
      <pane ySplit="1" topLeftCell="A2" activePane="bottomLeft" state="frozen"/>
      <selection pane="bottomLeft"/>
    </sheetView>
  </sheetViews>
  <sheetFormatPr defaultColWidth="14.44140625" defaultRowHeight="15.75" customHeight="1" x14ac:dyDescent="0.25"/>
  <cols>
    <col min="1" max="1" width="36.88671875" customWidth="1"/>
    <col min="2" max="2" width="35.6640625" customWidth="1"/>
    <col min="3" max="4" width="22.88671875" customWidth="1"/>
    <col min="5" max="6" width="15.6640625" customWidth="1"/>
    <col min="7" max="7" width="9.5546875" customWidth="1"/>
    <col min="8" max="26" width="20.6640625" customWidth="1"/>
  </cols>
  <sheetData>
    <row r="1" spans="1:26" ht="34.5" customHeight="1" x14ac:dyDescent="0.25">
      <c r="A1" s="46" t="s">
        <v>1725</v>
      </c>
      <c r="B1" s="47" t="s">
        <v>11</v>
      </c>
      <c r="C1" s="8" t="s">
        <v>1687</v>
      </c>
      <c r="D1" s="47" t="s">
        <v>1688</v>
      </c>
      <c r="E1" s="47" t="s">
        <v>1682</v>
      </c>
      <c r="F1" s="47" t="s">
        <v>1683</v>
      </c>
      <c r="G1" s="69"/>
      <c r="H1" s="69"/>
      <c r="I1" s="69"/>
      <c r="J1" s="69"/>
      <c r="K1" s="69"/>
      <c r="L1" s="69"/>
      <c r="M1" s="69"/>
      <c r="N1" s="69"/>
      <c r="O1" s="69"/>
      <c r="P1" s="69"/>
      <c r="Q1" s="69"/>
      <c r="R1" s="69"/>
      <c r="S1" s="69"/>
      <c r="T1" s="69"/>
      <c r="U1" s="69"/>
      <c r="V1" s="69"/>
      <c r="W1" s="69"/>
      <c r="X1" s="69"/>
      <c r="Y1" s="69"/>
      <c r="Z1" s="69"/>
    </row>
    <row r="2" spans="1:26" ht="28.5" customHeight="1" x14ac:dyDescent="0.25">
      <c r="A2" s="11" t="s">
        <v>49</v>
      </c>
      <c r="B2" s="11" t="s">
        <v>49</v>
      </c>
      <c r="C2" s="51">
        <v>229.5</v>
      </c>
      <c r="D2" s="51">
        <v>240.5</v>
      </c>
      <c r="E2" s="51">
        <f t="shared" ref="E2:E10" si="0">(C2-D2)</f>
        <v>-11</v>
      </c>
      <c r="F2" s="51">
        <f t="shared" ref="F2:F10" si="1">(E2/D2)*100</f>
        <v>-4.5738045738045745</v>
      </c>
      <c r="G2" s="18"/>
      <c r="H2" s="18"/>
      <c r="I2" s="18"/>
      <c r="J2" s="18"/>
      <c r="K2" s="18"/>
      <c r="L2" s="18"/>
      <c r="M2" s="18"/>
      <c r="N2" s="18"/>
      <c r="O2" s="18"/>
      <c r="P2" s="18"/>
      <c r="Q2" s="18"/>
      <c r="R2" s="18"/>
      <c r="S2" s="18"/>
      <c r="T2" s="18"/>
      <c r="U2" s="18"/>
      <c r="V2" s="18"/>
      <c r="W2" s="18"/>
      <c r="X2" s="18"/>
      <c r="Y2" s="18"/>
      <c r="Z2" s="18"/>
    </row>
    <row r="3" spans="1:26" ht="28.5" customHeight="1" x14ac:dyDescent="0.25">
      <c r="A3" s="11" t="s">
        <v>489</v>
      </c>
      <c r="B3" s="11" t="s">
        <v>126</v>
      </c>
      <c r="C3" s="51">
        <v>92.4</v>
      </c>
      <c r="D3" s="51">
        <v>108.4</v>
      </c>
      <c r="E3" s="51">
        <f t="shared" si="0"/>
        <v>-16</v>
      </c>
      <c r="F3" s="51">
        <f t="shared" si="1"/>
        <v>-14.760147601476014</v>
      </c>
      <c r="G3" s="18"/>
      <c r="H3" s="18"/>
      <c r="I3" s="18"/>
      <c r="J3" s="18"/>
      <c r="K3" s="18"/>
      <c r="L3" s="18"/>
      <c r="M3" s="18"/>
      <c r="N3" s="18"/>
      <c r="O3" s="18"/>
      <c r="P3" s="18"/>
      <c r="Q3" s="18"/>
      <c r="R3" s="18"/>
      <c r="S3" s="18"/>
      <c r="T3" s="18"/>
      <c r="U3" s="18"/>
      <c r="V3" s="18"/>
      <c r="W3" s="18"/>
      <c r="X3" s="18"/>
      <c r="Y3" s="18"/>
      <c r="Z3" s="18"/>
    </row>
    <row r="4" spans="1:26" ht="28.5" customHeight="1" x14ac:dyDescent="0.25">
      <c r="A4" s="11" t="s">
        <v>258</v>
      </c>
      <c r="B4" s="11" t="s">
        <v>258</v>
      </c>
      <c r="C4" s="51">
        <v>28.6</v>
      </c>
      <c r="D4" s="51">
        <v>34.6</v>
      </c>
      <c r="E4" s="51">
        <f t="shared" si="0"/>
        <v>-6</v>
      </c>
      <c r="F4" s="51">
        <f t="shared" si="1"/>
        <v>-17.341040462427745</v>
      </c>
      <c r="G4" s="18"/>
      <c r="H4" s="18"/>
      <c r="I4" s="18"/>
      <c r="J4" s="18"/>
      <c r="K4" s="18"/>
      <c r="L4" s="18"/>
      <c r="M4" s="18"/>
      <c r="N4" s="18"/>
      <c r="O4" s="18"/>
      <c r="P4" s="18"/>
      <c r="Q4" s="18"/>
      <c r="R4" s="18"/>
      <c r="S4" s="18"/>
      <c r="T4" s="18"/>
      <c r="U4" s="18"/>
      <c r="V4" s="18"/>
      <c r="W4" s="18"/>
      <c r="X4" s="18"/>
      <c r="Y4" s="18"/>
      <c r="Z4" s="18"/>
    </row>
    <row r="5" spans="1:26" ht="28.5" customHeight="1" x14ac:dyDescent="0.25">
      <c r="A5" s="11" t="s">
        <v>23</v>
      </c>
      <c r="B5" s="11"/>
      <c r="C5" s="51">
        <v>58.7</v>
      </c>
      <c r="D5" s="51">
        <v>54.1</v>
      </c>
      <c r="E5" s="51">
        <f t="shared" si="0"/>
        <v>4.6000000000000014</v>
      </c>
      <c r="F5" s="51">
        <f t="shared" si="1"/>
        <v>8.5027726432532376</v>
      </c>
      <c r="G5" s="18"/>
      <c r="H5" s="18"/>
      <c r="I5" s="18"/>
      <c r="J5" s="18"/>
      <c r="K5" s="18"/>
      <c r="L5" s="18"/>
      <c r="M5" s="18"/>
      <c r="N5" s="18"/>
      <c r="O5" s="18"/>
      <c r="P5" s="18"/>
      <c r="Q5" s="18"/>
      <c r="R5" s="18"/>
      <c r="S5" s="18"/>
      <c r="T5" s="18"/>
      <c r="U5" s="18"/>
      <c r="V5" s="18"/>
      <c r="W5" s="18"/>
      <c r="X5" s="18"/>
      <c r="Y5" s="18"/>
      <c r="Z5" s="18"/>
    </row>
    <row r="6" spans="1:26" ht="28.5" customHeight="1" x14ac:dyDescent="0.25">
      <c r="A6" s="11" t="s">
        <v>490</v>
      </c>
      <c r="B6" s="11"/>
      <c r="C6" s="51">
        <v>224</v>
      </c>
      <c r="D6" s="51">
        <v>151.30000000000001</v>
      </c>
      <c r="E6" s="51">
        <f t="shared" si="0"/>
        <v>72.699999999999989</v>
      </c>
      <c r="F6" s="51">
        <f t="shared" si="1"/>
        <v>48.05023132848644</v>
      </c>
      <c r="G6" s="18"/>
      <c r="H6" s="18"/>
      <c r="I6" s="18"/>
      <c r="J6" s="18"/>
      <c r="K6" s="18"/>
      <c r="L6" s="18"/>
      <c r="M6" s="18"/>
      <c r="N6" s="18"/>
      <c r="O6" s="18"/>
      <c r="P6" s="18"/>
      <c r="Q6" s="18"/>
      <c r="R6" s="18"/>
      <c r="S6" s="18"/>
      <c r="T6" s="18"/>
      <c r="U6" s="18"/>
      <c r="V6" s="18"/>
      <c r="W6" s="18"/>
      <c r="X6" s="18"/>
      <c r="Y6" s="18"/>
      <c r="Z6" s="18"/>
    </row>
    <row r="7" spans="1:26" ht="28.5" customHeight="1" x14ac:dyDescent="0.25">
      <c r="A7" s="26" t="s">
        <v>491</v>
      </c>
      <c r="B7" s="26"/>
      <c r="C7" s="19">
        <v>409</v>
      </c>
      <c r="D7" s="19">
        <v>437.6</v>
      </c>
      <c r="E7" s="19">
        <f t="shared" si="0"/>
        <v>-28.600000000000023</v>
      </c>
      <c r="F7" s="19">
        <f t="shared" si="1"/>
        <v>-6.5356489945155447</v>
      </c>
      <c r="G7" s="18"/>
      <c r="H7" s="18"/>
      <c r="I7" s="18"/>
      <c r="J7" s="18"/>
      <c r="K7" s="18"/>
      <c r="L7" s="18"/>
      <c r="M7" s="18"/>
      <c r="N7" s="18"/>
      <c r="O7" s="18"/>
      <c r="P7" s="18"/>
      <c r="Q7" s="18"/>
      <c r="R7" s="18"/>
      <c r="S7" s="18"/>
      <c r="T7" s="18"/>
      <c r="U7" s="18"/>
      <c r="V7" s="18"/>
      <c r="W7" s="18"/>
      <c r="X7" s="18"/>
      <c r="Y7" s="18"/>
      <c r="Z7" s="18"/>
    </row>
    <row r="8" spans="1:26" ht="28.5" customHeight="1" x14ac:dyDescent="0.25">
      <c r="A8" s="26" t="s">
        <v>38</v>
      </c>
      <c r="B8" s="26"/>
      <c r="C8" s="19">
        <v>633.29999999999995</v>
      </c>
      <c r="D8" s="19">
        <v>588.9</v>
      </c>
      <c r="E8" s="19">
        <f t="shared" si="0"/>
        <v>44.399999999999977</v>
      </c>
      <c r="F8" s="19">
        <f t="shared" si="1"/>
        <v>7.5394803871625031</v>
      </c>
      <c r="G8" s="18"/>
      <c r="H8" s="18"/>
      <c r="I8" s="18"/>
      <c r="J8" s="54"/>
      <c r="K8" s="54"/>
      <c r="L8" s="54"/>
      <c r="M8" s="54"/>
      <c r="N8" s="54"/>
      <c r="O8" s="54"/>
      <c r="P8" s="54"/>
      <c r="Q8" s="54"/>
      <c r="R8" s="54"/>
      <c r="S8" s="54"/>
      <c r="T8" s="54"/>
      <c r="U8" s="54"/>
      <c r="V8" s="54"/>
      <c r="W8" s="54"/>
      <c r="X8" s="54"/>
      <c r="Y8" s="54"/>
      <c r="Z8" s="54"/>
    </row>
    <row r="9" spans="1:26" ht="28.5" customHeight="1" x14ac:dyDescent="0.25">
      <c r="A9" s="26" t="s">
        <v>492</v>
      </c>
      <c r="B9" s="26"/>
      <c r="C9" s="19">
        <v>153.6</v>
      </c>
      <c r="D9" s="19">
        <v>97.3</v>
      </c>
      <c r="E9" s="19">
        <f t="shared" si="0"/>
        <v>56.3</v>
      </c>
      <c r="F9" s="19">
        <f t="shared" si="1"/>
        <v>57.8622816032888</v>
      </c>
      <c r="G9" s="18"/>
      <c r="H9" s="18"/>
      <c r="I9" s="18"/>
      <c r="J9" s="18"/>
      <c r="K9" s="18"/>
      <c r="L9" s="18"/>
      <c r="M9" s="18"/>
      <c r="N9" s="18"/>
      <c r="O9" s="18"/>
      <c r="P9" s="18"/>
      <c r="Q9" s="18"/>
      <c r="R9" s="18"/>
      <c r="S9" s="18"/>
      <c r="T9" s="18"/>
      <c r="U9" s="18"/>
      <c r="V9" s="18"/>
      <c r="W9" s="18"/>
      <c r="X9" s="18"/>
      <c r="Y9" s="18"/>
      <c r="Z9" s="18"/>
    </row>
    <row r="10" spans="1:26" ht="28.5" customHeight="1" x14ac:dyDescent="0.25">
      <c r="A10" s="26" t="s">
        <v>101</v>
      </c>
      <c r="B10" s="26"/>
      <c r="C10" s="19">
        <v>786.9</v>
      </c>
      <c r="D10" s="19">
        <v>686.18</v>
      </c>
      <c r="E10" s="19">
        <f t="shared" si="0"/>
        <v>100.72000000000003</v>
      </c>
      <c r="F10" s="19">
        <f t="shared" si="1"/>
        <v>14.678364277594804</v>
      </c>
      <c r="G10" s="18"/>
      <c r="H10" s="18"/>
      <c r="I10" s="18"/>
      <c r="J10" s="54"/>
      <c r="K10" s="54"/>
      <c r="L10" s="54"/>
      <c r="M10" s="54"/>
      <c r="N10" s="54"/>
      <c r="O10" s="54"/>
      <c r="P10" s="54"/>
      <c r="Q10" s="54"/>
      <c r="R10" s="54"/>
      <c r="S10" s="54"/>
      <c r="T10" s="54"/>
      <c r="U10" s="54"/>
      <c r="V10" s="54"/>
      <c r="W10" s="54"/>
      <c r="X10" s="54"/>
      <c r="Y10" s="54"/>
      <c r="Z10" s="54"/>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1241"/>
  <sheetViews>
    <sheetView workbookViewId="0">
      <pane ySplit="1" topLeftCell="A2" activePane="bottomLeft" state="frozen"/>
      <selection activeCell="B11" sqref="B11"/>
      <selection pane="bottomLeft" activeCell="A1260" sqref="A1260"/>
    </sheetView>
  </sheetViews>
  <sheetFormatPr defaultColWidth="14.44140625" defaultRowHeight="25.05" customHeight="1" x14ac:dyDescent="0.3"/>
  <cols>
    <col min="1" max="1" width="19.6640625" style="255" customWidth="1"/>
    <col min="2" max="2" width="21.33203125" style="255" customWidth="1"/>
    <col min="3" max="3" width="22.88671875" style="255" customWidth="1"/>
    <col min="4" max="4" width="18.5546875" style="255" customWidth="1"/>
    <col min="5" max="5" width="25.109375" style="255" customWidth="1"/>
    <col min="6" max="6" width="9.21875" style="255" customWidth="1"/>
    <col min="7" max="7" width="8.33203125" style="255" customWidth="1"/>
    <col min="8" max="9" width="9.6640625" style="255" customWidth="1"/>
    <col min="10" max="10" width="14.5546875" style="255" customWidth="1"/>
    <col min="11" max="11" width="15.77734375" style="255" customWidth="1"/>
    <col min="12" max="12" width="17.77734375" style="255" customWidth="1"/>
    <col min="13" max="13" width="12.33203125" style="255" customWidth="1"/>
    <col min="14" max="16384" width="14.44140625" style="255"/>
  </cols>
  <sheetData>
    <row r="1" spans="1:13" s="250" customFormat="1" ht="42" customHeight="1" x14ac:dyDescent="0.3">
      <c r="A1" s="292" t="s">
        <v>8</v>
      </c>
      <c r="B1" s="293" t="s">
        <v>9</v>
      </c>
      <c r="C1" s="294" t="s">
        <v>10</v>
      </c>
      <c r="D1" s="294" t="s">
        <v>11</v>
      </c>
      <c r="E1" s="295" t="s">
        <v>1835</v>
      </c>
      <c r="F1" s="292" t="s">
        <v>12</v>
      </c>
      <c r="G1" s="292" t="s">
        <v>13</v>
      </c>
      <c r="H1" s="296" t="s">
        <v>14</v>
      </c>
      <c r="I1" s="297" t="s">
        <v>15</v>
      </c>
      <c r="J1" s="296" t="s">
        <v>16</v>
      </c>
      <c r="K1" s="296" t="s">
        <v>17</v>
      </c>
      <c r="L1" s="297" t="s">
        <v>18</v>
      </c>
      <c r="M1" s="296" t="s">
        <v>1702</v>
      </c>
    </row>
    <row r="2" spans="1:13" ht="25.05" customHeight="1" x14ac:dyDescent="0.3">
      <c r="A2" s="251" t="s">
        <v>19</v>
      </c>
      <c r="B2" s="252" t="s">
        <v>1684</v>
      </c>
      <c r="C2" s="252"/>
      <c r="D2" s="252">
        <v>0</v>
      </c>
      <c r="E2" s="252" t="s">
        <v>20</v>
      </c>
      <c r="F2" s="253" t="s">
        <v>21</v>
      </c>
      <c r="G2" s="253" t="s">
        <v>22</v>
      </c>
      <c r="H2" s="254">
        <v>3209</v>
      </c>
      <c r="I2" s="254">
        <v>3392</v>
      </c>
      <c r="J2" s="254">
        <v>3209</v>
      </c>
      <c r="K2" s="254">
        <v>3392</v>
      </c>
      <c r="L2" s="254">
        <v>-183</v>
      </c>
      <c r="M2" s="254">
        <v>-5.3950471698113205</v>
      </c>
    </row>
    <row r="3" spans="1:13" ht="25.05" customHeight="1" x14ac:dyDescent="0.3">
      <c r="A3" s="251" t="s">
        <v>19</v>
      </c>
      <c r="B3" s="252" t="s">
        <v>23</v>
      </c>
      <c r="C3" s="252"/>
      <c r="D3" s="252">
        <v>0</v>
      </c>
      <c r="E3" s="252" t="s">
        <v>20</v>
      </c>
      <c r="F3" s="253" t="s">
        <v>21</v>
      </c>
      <c r="G3" s="253" t="s">
        <v>22</v>
      </c>
      <c r="H3" s="254">
        <v>1094</v>
      </c>
      <c r="I3" s="254">
        <v>1094</v>
      </c>
      <c r="J3" s="254">
        <v>1094</v>
      </c>
      <c r="K3" s="254">
        <v>1094</v>
      </c>
      <c r="L3" s="254">
        <v>0</v>
      </c>
      <c r="M3" s="254">
        <v>0</v>
      </c>
    </row>
    <row r="4" spans="1:13" ht="25.05" customHeight="1" x14ac:dyDescent="0.3">
      <c r="A4" s="251" t="s">
        <v>19</v>
      </c>
      <c r="B4" s="252" t="s">
        <v>24</v>
      </c>
      <c r="C4" s="252"/>
      <c r="D4" s="252">
        <v>0</v>
      </c>
      <c r="E4" s="252" t="s">
        <v>20</v>
      </c>
      <c r="F4" s="253" t="s">
        <v>21</v>
      </c>
      <c r="G4" s="253" t="s">
        <v>22</v>
      </c>
      <c r="H4" s="254">
        <v>4303</v>
      </c>
      <c r="I4" s="254">
        <v>4486</v>
      </c>
      <c r="J4" s="254">
        <v>4303</v>
      </c>
      <c r="K4" s="254">
        <v>4486</v>
      </c>
      <c r="L4" s="254">
        <v>-183</v>
      </c>
      <c r="M4" s="254">
        <v>-4.0793580026749892</v>
      </c>
    </row>
    <row r="5" spans="1:13" ht="25.05" customHeight="1" x14ac:dyDescent="0.3">
      <c r="A5" s="251" t="s">
        <v>19</v>
      </c>
      <c r="B5" s="252" t="s">
        <v>25</v>
      </c>
      <c r="C5" s="252"/>
      <c r="D5" s="252" t="s">
        <v>26</v>
      </c>
      <c r="E5" s="252" t="s">
        <v>20</v>
      </c>
      <c r="F5" s="253" t="s">
        <v>21</v>
      </c>
      <c r="G5" s="253" t="s">
        <v>22</v>
      </c>
      <c r="H5" s="254">
        <v>4127</v>
      </c>
      <c r="I5" s="254">
        <v>4161</v>
      </c>
      <c r="J5" s="254">
        <v>4127</v>
      </c>
      <c r="K5" s="254">
        <v>4161</v>
      </c>
      <c r="L5" s="254">
        <v>-34</v>
      </c>
      <c r="M5" s="254">
        <v>-0.8171112713290074</v>
      </c>
    </row>
    <row r="6" spans="1:13" ht="25.05" customHeight="1" x14ac:dyDescent="0.3">
      <c r="A6" s="251" t="s">
        <v>19</v>
      </c>
      <c r="B6" s="252" t="s">
        <v>27</v>
      </c>
      <c r="C6" s="252"/>
      <c r="D6" s="252" t="s">
        <v>26</v>
      </c>
      <c r="E6" s="252" t="s">
        <v>20</v>
      </c>
      <c r="F6" s="253" t="s">
        <v>21</v>
      </c>
      <c r="G6" s="253" t="s">
        <v>22</v>
      </c>
      <c r="H6" s="254">
        <v>3520</v>
      </c>
      <c r="I6" s="254">
        <v>3248</v>
      </c>
      <c r="J6" s="254">
        <v>3520</v>
      </c>
      <c r="K6" s="254">
        <v>3248</v>
      </c>
      <c r="L6" s="254">
        <v>272</v>
      </c>
      <c r="M6" s="254">
        <v>8.3743842364532011</v>
      </c>
    </row>
    <row r="7" spans="1:13" ht="25.05" customHeight="1" x14ac:dyDescent="0.3">
      <c r="A7" s="251" t="s">
        <v>19</v>
      </c>
      <c r="B7" s="252" t="s">
        <v>28</v>
      </c>
      <c r="C7" s="252"/>
      <c r="D7" s="252" t="s">
        <v>26</v>
      </c>
      <c r="E7" s="252" t="s">
        <v>20</v>
      </c>
      <c r="F7" s="253" t="s">
        <v>21</v>
      </c>
      <c r="G7" s="253" t="s">
        <v>22</v>
      </c>
      <c r="H7" s="254">
        <v>7647</v>
      </c>
      <c r="I7" s="254">
        <v>7409</v>
      </c>
      <c r="J7" s="254">
        <v>7647</v>
      </c>
      <c r="K7" s="254">
        <v>7409</v>
      </c>
      <c r="L7" s="254">
        <v>238</v>
      </c>
      <c r="M7" s="254">
        <v>3.2123093534889997</v>
      </c>
    </row>
    <row r="8" spans="1:13" ht="25.05" customHeight="1" x14ac:dyDescent="0.3">
      <c r="A8" s="251" t="s">
        <v>19</v>
      </c>
      <c r="B8" s="252" t="s">
        <v>29</v>
      </c>
      <c r="C8" s="252"/>
      <c r="D8" s="252" t="s">
        <v>30</v>
      </c>
      <c r="E8" s="252" t="s">
        <v>20</v>
      </c>
      <c r="F8" s="253" t="s">
        <v>21</v>
      </c>
      <c r="G8" s="253" t="s">
        <v>22</v>
      </c>
      <c r="H8" s="254">
        <v>4475</v>
      </c>
      <c r="I8" s="254">
        <v>4656</v>
      </c>
      <c r="J8" s="254">
        <v>4475</v>
      </c>
      <c r="K8" s="254">
        <v>4656</v>
      </c>
      <c r="L8" s="254">
        <v>-181</v>
      </c>
      <c r="M8" s="254">
        <v>-3.8874570446735395</v>
      </c>
    </row>
    <row r="9" spans="1:13" ht="25.05" customHeight="1" x14ac:dyDescent="0.3">
      <c r="A9" s="251" t="s">
        <v>19</v>
      </c>
      <c r="B9" s="252" t="s">
        <v>31</v>
      </c>
      <c r="C9" s="252"/>
      <c r="D9" s="252" t="s">
        <v>30</v>
      </c>
      <c r="E9" s="252" t="s">
        <v>20</v>
      </c>
      <c r="F9" s="253" t="s">
        <v>21</v>
      </c>
      <c r="G9" s="253" t="s">
        <v>22</v>
      </c>
      <c r="H9" s="254">
        <v>1438</v>
      </c>
      <c r="I9" s="254">
        <v>442</v>
      </c>
      <c r="J9" s="254">
        <v>1438</v>
      </c>
      <c r="K9" s="254">
        <v>442</v>
      </c>
      <c r="L9" s="254">
        <v>996</v>
      </c>
      <c r="M9" s="254">
        <v>225.3393665158371</v>
      </c>
    </row>
    <row r="10" spans="1:13" ht="25.05" customHeight="1" x14ac:dyDescent="0.3">
      <c r="A10" s="251" t="s">
        <v>19</v>
      </c>
      <c r="B10" s="252" t="s">
        <v>32</v>
      </c>
      <c r="C10" s="252"/>
      <c r="D10" s="252" t="s">
        <v>30</v>
      </c>
      <c r="E10" s="252" t="s">
        <v>20</v>
      </c>
      <c r="F10" s="253" t="s">
        <v>21</v>
      </c>
      <c r="G10" s="253" t="s">
        <v>22</v>
      </c>
      <c r="H10" s="254">
        <v>516</v>
      </c>
      <c r="I10" s="254">
        <v>561</v>
      </c>
      <c r="J10" s="254">
        <v>516</v>
      </c>
      <c r="K10" s="254">
        <v>561</v>
      </c>
      <c r="L10" s="254">
        <v>-45</v>
      </c>
      <c r="M10" s="254">
        <v>-8.0213903743315509</v>
      </c>
    </row>
    <row r="11" spans="1:13" ht="25.05" customHeight="1" x14ac:dyDescent="0.3">
      <c r="A11" s="251" t="s">
        <v>19</v>
      </c>
      <c r="B11" s="252" t="s">
        <v>33</v>
      </c>
      <c r="C11" s="252"/>
      <c r="D11" s="252" t="s">
        <v>30</v>
      </c>
      <c r="E11" s="252" t="s">
        <v>20</v>
      </c>
      <c r="F11" s="253" t="s">
        <v>21</v>
      </c>
      <c r="G11" s="253" t="s">
        <v>22</v>
      </c>
      <c r="H11" s="254">
        <v>4376</v>
      </c>
      <c r="I11" s="254">
        <v>2054</v>
      </c>
      <c r="J11" s="254">
        <v>4376</v>
      </c>
      <c r="K11" s="254">
        <v>2054</v>
      </c>
      <c r="L11" s="254">
        <v>2322</v>
      </c>
      <c r="M11" s="254">
        <v>113.04771178188899</v>
      </c>
    </row>
    <row r="12" spans="1:13" ht="25.05" customHeight="1" x14ac:dyDescent="0.3">
      <c r="A12" s="251" t="s">
        <v>19</v>
      </c>
      <c r="B12" s="252" t="s">
        <v>34</v>
      </c>
      <c r="C12" s="252"/>
      <c r="D12" s="252" t="s">
        <v>30</v>
      </c>
      <c r="E12" s="252" t="s">
        <v>20</v>
      </c>
      <c r="F12" s="253" t="s">
        <v>21</v>
      </c>
      <c r="G12" s="253" t="s">
        <v>22</v>
      </c>
      <c r="H12" s="254">
        <v>10805</v>
      </c>
      <c r="I12" s="254">
        <v>7713</v>
      </c>
      <c r="J12" s="254">
        <v>10805</v>
      </c>
      <c r="K12" s="254">
        <v>7713</v>
      </c>
      <c r="L12" s="254">
        <v>3092</v>
      </c>
      <c r="M12" s="254">
        <v>40.088162841955139</v>
      </c>
    </row>
    <row r="13" spans="1:13" ht="25.05" customHeight="1" x14ac:dyDescent="0.3">
      <c r="A13" s="251" t="s">
        <v>19</v>
      </c>
      <c r="B13" s="252" t="s">
        <v>35</v>
      </c>
      <c r="C13" s="252"/>
      <c r="D13" s="252" t="s">
        <v>30</v>
      </c>
      <c r="E13" s="252" t="s">
        <v>20</v>
      </c>
      <c r="F13" s="253" t="s">
        <v>21</v>
      </c>
      <c r="G13" s="253" t="s">
        <v>22</v>
      </c>
      <c r="H13" s="254">
        <v>11787</v>
      </c>
      <c r="I13" s="254">
        <v>12239</v>
      </c>
      <c r="J13" s="254">
        <v>11787</v>
      </c>
      <c r="K13" s="254">
        <v>12239</v>
      </c>
      <c r="L13" s="254">
        <v>-452</v>
      </c>
      <c r="M13" s="254">
        <v>-3.6931121823678406</v>
      </c>
    </row>
    <row r="14" spans="1:13" ht="25.05" customHeight="1" x14ac:dyDescent="0.3">
      <c r="A14" s="251" t="s">
        <v>19</v>
      </c>
      <c r="B14" s="252" t="s">
        <v>36</v>
      </c>
      <c r="C14" s="252"/>
      <c r="D14" s="252">
        <v>0</v>
      </c>
      <c r="E14" s="252" t="s">
        <v>20</v>
      </c>
      <c r="F14" s="253" t="s">
        <v>21</v>
      </c>
      <c r="G14" s="253" t="s">
        <v>22</v>
      </c>
      <c r="H14" s="254">
        <v>34542</v>
      </c>
      <c r="I14" s="254">
        <v>31847</v>
      </c>
      <c r="J14" s="254">
        <v>34542</v>
      </c>
      <c r="K14" s="254">
        <v>31847</v>
      </c>
      <c r="L14" s="254">
        <v>2695</v>
      </c>
      <c r="M14" s="254">
        <v>8.4623355418092761</v>
      </c>
    </row>
    <row r="15" spans="1:13" ht="25.05" customHeight="1" x14ac:dyDescent="0.3">
      <c r="A15" s="251" t="s">
        <v>19</v>
      </c>
      <c r="B15" s="252" t="s">
        <v>37</v>
      </c>
      <c r="C15" s="252"/>
      <c r="D15" s="252">
        <v>0</v>
      </c>
      <c r="E15" s="252" t="s">
        <v>20</v>
      </c>
      <c r="F15" s="253" t="s">
        <v>21</v>
      </c>
      <c r="G15" s="253" t="s">
        <v>22</v>
      </c>
      <c r="H15" s="254">
        <v>66</v>
      </c>
      <c r="I15" s="254">
        <v>57</v>
      </c>
      <c r="J15" s="254">
        <v>66</v>
      </c>
      <c r="K15" s="254">
        <v>57</v>
      </c>
      <c r="L15" s="254">
        <v>9</v>
      </c>
      <c r="M15" s="254">
        <v>15.789473684210526</v>
      </c>
    </row>
    <row r="16" spans="1:13" s="262" customFormat="1" ht="25.05" customHeight="1" x14ac:dyDescent="0.3">
      <c r="A16" s="263" t="s">
        <v>19</v>
      </c>
      <c r="B16" s="264" t="s">
        <v>38</v>
      </c>
      <c r="C16" s="264"/>
      <c r="D16" s="264">
        <v>0</v>
      </c>
      <c r="E16" s="264" t="s">
        <v>20</v>
      </c>
      <c r="F16" s="265" t="s">
        <v>21</v>
      </c>
      <c r="G16" s="265" t="s">
        <v>22</v>
      </c>
      <c r="H16" s="266">
        <v>34608</v>
      </c>
      <c r="I16" s="266">
        <v>31904</v>
      </c>
      <c r="J16" s="266">
        <v>34608</v>
      </c>
      <c r="K16" s="266">
        <v>31904</v>
      </c>
      <c r="L16" s="266">
        <v>2704</v>
      </c>
      <c r="M16" s="266">
        <v>8.47542627883651</v>
      </c>
    </row>
    <row r="17" spans="1:13" ht="25.05" customHeight="1" x14ac:dyDescent="0.3">
      <c r="A17" s="253" t="s">
        <v>39</v>
      </c>
      <c r="B17" s="252" t="s">
        <v>574</v>
      </c>
      <c r="C17" s="252" t="s">
        <v>139</v>
      </c>
      <c r="D17" s="252" t="s">
        <v>43</v>
      </c>
      <c r="E17" s="252" t="s">
        <v>40</v>
      </c>
      <c r="F17" s="253" t="s">
        <v>21</v>
      </c>
      <c r="G17" s="253" t="s">
        <v>22</v>
      </c>
      <c r="H17" s="254">
        <v>19832</v>
      </c>
      <c r="I17" s="254">
        <v>19169</v>
      </c>
      <c r="J17" s="254">
        <v>19832</v>
      </c>
      <c r="K17" s="254">
        <v>19169</v>
      </c>
      <c r="L17" s="254">
        <v>663</v>
      </c>
      <c r="M17" s="254">
        <v>3.4587093745109292</v>
      </c>
    </row>
    <row r="18" spans="1:13" ht="25.05" customHeight="1" x14ac:dyDescent="0.3">
      <c r="A18" s="253" t="s">
        <v>39</v>
      </c>
      <c r="B18" s="252" t="s">
        <v>41</v>
      </c>
      <c r="C18" s="252" t="s">
        <v>42</v>
      </c>
      <c r="D18" s="252" t="s">
        <v>43</v>
      </c>
      <c r="E18" s="252" t="s">
        <v>40</v>
      </c>
      <c r="F18" s="253" t="s">
        <v>21</v>
      </c>
      <c r="G18" s="253" t="s">
        <v>22</v>
      </c>
      <c r="H18" s="254">
        <v>1590</v>
      </c>
      <c r="I18" s="254">
        <v>355</v>
      </c>
      <c r="J18" s="254">
        <v>1590</v>
      </c>
      <c r="K18" s="254">
        <v>355</v>
      </c>
      <c r="L18" s="254">
        <v>1235</v>
      </c>
      <c r="M18" s="254">
        <v>347.88732394366195</v>
      </c>
    </row>
    <row r="19" spans="1:13" ht="25.05" customHeight="1" x14ac:dyDescent="0.3">
      <c r="A19" s="253" t="s">
        <v>39</v>
      </c>
      <c r="B19" s="252" t="s">
        <v>44</v>
      </c>
      <c r="C19" s="252" t="s">
        <v>45</v>
      </c>
      <c r="D19" s="252" t="s">
        <v>43</v>
      </c>
      <c r="E19" s="252" t="s">
        <v>46</v>
      </c>
      <c r="F19" s="253" t="s">
        <v>21</v>
      </c>
      <c r="G19" s="253" t="s">
        <v>22</v>
      </c>
      <c r="H19" s="254">
        <v>731</v>
      </c>
      <c r="I19" s="254">
        <v>47</v>
      </c>
      <c r="J19" s="254">
        <v>731</v>
      </c>
      <c r="K19" s="254">
        <v>47</v>
      </c>
      <c r="L19" s="254">
        <v>684</v>
      </c>
      <c r="M19" s="254">
        <v>1455.3191489361702</v>
      </c>
    </row>
    <row r="20" spans="1:13" ht="25.05" customHeight="1" x14ac:dyDescent="0.3">
      <c r="A20" s="253" t="s">
        <v>39</v>
      </c>
      <c r="B20" s="252" t="s">
        <v>43</v>
      </c>
      <c r="C20" s="252">
        <v>0</v>
      </c>
      <c r="D20" s="252" t="s">
        <v>43</v>
      </c>
      <c r="E20" s="252" t="s">
        <v>20</v>
      </c>
      <c r="F20" s="253" t="s">
        <v>21</v>
      </c>
      <c r="G20" s="253" t="s">
        <v>22</v>
      </c>
      <c r="H20" s="254">
        <v>22153</v>
      </c>
      <c r="I20" s="254">
        <v>19571</v>
      </c>
      <c r="J20" s="254">
        <v>22153</v>
      </c>
      <c r="K20" s="254">
        <v>19571</v>
      </c>
      <c r="L20" s="254">
        <v>2582</v>
      </c>
      <c r="M20" s="254">
        <v>13.192989627510091</v>
      </c>
    </row>
    <row r="21" spans="1:13" ht="25.05" customHeight="1" x14ac:dyDescent="0.3">
      <c r="A21" s="253" t="s">
        <v>39</v>
      </c>
      <c r="B21" s="252" t="s">
        <v>47</v>
      </c>
      <c r="C21" s="252" t="s">
        <v>48</v>
      </c>
      <c r="D21" s="252" t="s">
        <v>49</v>
      </c>
      <c r="E21" s="252" t="s">
        <v>46</v>
      </c>
      <c r="F21" s="253" t="s">
        <v>21</v>
      </c>
      <c r="G21" s="253" t="s">
        <v>22</v>
      </c>
      <c r="H21" s="254">
        <v>5314</v>
      </c>
      <c r="I21" s="254">
        <v>4674</v>
      </c>
      <c r="J21" s="254">
        <v>5314</v>
      </c>
      <c r="K21" s="254">
        <v>4674</v>
      </c>
      <c r="L21" s="254">
        <v>640</v>
      </c>
      <c r="M21" s="254">
        <v>13.692768506632436</v>
      </c>
    </row>
    <row r="22" spans="1:13" ht="25.05" customHeight="1" x14ac:dyDescent="0.3">
      <c r="A22" s="253" t="s">
        <v>39</v>
      </c>
      <c r="B22" s="252" t="s">
        <v>50</v>
      </c>
      <c r="C22" s="252" t="s">
        <v>51</v>
      </c>
      <c r="D22" s="252" t="s">
        <v>49</v>
      </c>
      <c r="E22" s="252" t="s">
        <v>46</v>
      </c>
      <c r="F22" s="253" t="s">
        <v>21</v>
      </c>
      <c r="G22" s="253" t="s">
        <v>22</v>
      </c>
      <c r="H22" s="254">
        <v>1337</v>
      </c>
      <c r="I22" s="254">
        <v>792</v>
      </c>
      <c r="J22" s="254">
        <v>1337</v>
      </c>
      <c r="K22" s="254">
        <v>792</v>
      </c>
      <c r="L22" s="254">
        <v>545</v>
      </c>
      <c r="M22" s="254">
        <v>68.813131313131322</v>
      </c>
    </row>
    <row r="23" spans="1:13" ht="25.05" customHeight="1" x14ac:dyDescent="0.3">
      <c r="A23" s="253" t="s">
        <v>39</v>
      </c>
      <c r="B23" s="252" t="s">
        <v>52</v>
      </c>
      <c r="C23" s="252">
        <v>0</v>
      </c>
      <c r="D23" s="252" t="s">
        <v>49</v>
      </c>
      <c r="E23" s="252" t="s">
        <v>20</v>
      </c>
      <c r="F23" s="253" t="s">
        <v>21</v>
      </c>
      <c r="G23" s="253" t="s">
        <v>22</v>
      </c>
      <c r="H23" s="254">
        <v>6651</v>
      </c>
      <c r="I23" s="254">
        <v>5466</v>
      </c>
      <c r="J23" s="254">
        <v>6651</v>
      </c>
      <c r="K23" s="254">
        <v>5466</v>
      </c>
      <c r="L23" s="254">
        <v>1185</v>
      </c>
      <c r="M23" s="254">
        <v>21.679473106476401</v>
      </c>
    </row>
    <row r="24" spans="1:13" ht="25.05" customHeight="1" x14ac:dyDescent="0.3">
      <c r="A24" s="253" t="s">
        <v>39</v>
      </c>
      <c r="B24" s="252" t="s">
        <v>53</v>
      </c>
      <c r="C24" s="252">
        <v>0</v>
      </c>
      <c r="D24" s="252">
        <v>0</v>
      </c>
      <c r="E24" s="252" t="s">
        <v>20</v>
      </c>
      <c r="F24" s="253" t="s">
        <v>21</v>
      </c>
      <c r="G24" s="253" t="s">
        <v>22</v>
      </c>
      <c r="H24" s="254">
        <v>1112</v>
      </c>
      <c r="I24" s="254">
        <v>0</v>
      </c>
      <c r="J24" s="254">
        <v>1112</v>
      </c>
      <c r="K24" s="254">
        <v>0</v>
      </c>
      <c r="L24" s="254">
        <v>1112</v>
      </c>
      <c r="M24" s="254">
        <v>100</v>
      </c>
    </row>
    <row r="25" spans="1:13" ht="25.05" customHeight="1" x14ac:dyDescent="0.3">
      <c r="A25" s="253" t="s">
        <v>39</v>
      </c>
      <c r="B25" s="252" t="s">
        <v>54</v>
      </c>
      <c r="C25" s="252" t="s">
        <v>55</v>
      </c>
      <c r="D25" s="252" t="s">
        <v>56</v>
      </c>
      <c r="E25" s="252" t="s">
        <v>40</v>
      </c>
      <c r="F25" s="253" t="s">
        <v>21</v>
      </c>
      <c r="G25" s="253" t="s">
        <v>22</v>
      </c>
      <c r="H25" s="254">
        <v>718</v>
      </c>
      <c r="I25" s="254">
        <v>0</v>
      </c>
      <c r="J25" s="254">
        <v>718</v>
      </c>
      <c r="K25" s="254">
        <v>0</v>
      </c>
      <c r="L25" s="254">
        <v>718</v>
      </c>
      <c r="M25" s="254">
        <v>100</v>
      </c>
    </row>
    <row r="26" spans="1:13" ht="25.05" customHeight="1" x14ac:dyDescent="0.3">
      <c r="A26" s="253" t="s">
        <v>39</v>
      </c>
      <c r="B26" s="252" t="s">
        <v>57</v>
      </c>
      <c r="C26" s="252">
        <v>0</v>
      </c>
      <c r="D26" s="252">
        <v>0</v>
      </c>
      <c r="E26" s="252" t="s">
        <v>20</v>
      </c>
      <c r="F26" s="253" t="s">
        <v>21</v>
      </c>
      <c r="G26" s="253" t="s">
        <v>22</v>
      </c>
      <c r="H26" s="254">
        <v>760</v>
      </c>
      <c r="I26" s="254">
        <v>0</v>
      </c>
      <c r="J26" s="254">
        <v>760</v>
      </c>
      <c r="K26" s="254">
        <v>0</v>
      </c>
      <c r="L26" s="254">
        <v>760</v>
      </c>
      <c r="M26" s="254">
        <v>100</v>
      </c>
    </row>
    <row r="27" spans="1:13" ht="25.05" customHeight="1" x14ac:dyDescent="0.3">
      <c r="A27" s="253" t="s">
        <v>39</v>
      </c>
      <c r="B27" s="252" t="s">
        <v>58</v>
      </c>
      <c r="C27" s="252">
        <v>0</v>
      </c>
      <c r="D27" s="252">
        <v>0</v>
      </c>
      <c r="E27" s="252" t="s">
        <v>20</v>
      </c>
      <c r="F27" s="253" t="s">
        <v>21</v>
      </c>
      <c r="G27" s="253" t="s">
        <v>22</v>
      </c>
      <c r="H27" s="254">
        <v>2590</v>
      </c>
      <c r="I27" s="254">
        <v>0</v>
      </c>
      <c r="J27" s="254">
        <v>2590</v>
      </c>
      <c r="K27" s="254">
        <v>0</v>
      </c>
      <c r="L27" s="254">
        <v>2590</v>
      </c>
      <c r="M27" s="254">
        <v>100</v>
      </c>
    </row>
    <row r="28" spans="1:13" ht="25.05" customHeight="1" x14ac:dyDescent="0.3">
      <c r="A28" s="253" t="s">
        <v>39</v>
      </c>
      <c r="B28" s="252" t="s">
        <v>59</v>
      </c>
      <c r="C28" s="252">
        <v>0</v>
      </c>
      <c r="D28" s="252">
        <v>0</v>
      </c>
      <c r="E28" s="252" t="s">
        <v>20</v>
      </c>
      <c r="F28" s="253" t="s">
        <v>21</v>
      </c>
      <c r="G28" s="253" t="s">
        <v>22</v>
      </c>
      <c r="H28" s="254">
        <v>1387</v>
      </c>
      <c r="I28" s="254">
        <v>0</v>
      </c>
      <c r="J28" s="254">
        <v>1387</v>
      </c>
      <c r="K28" s="254">
        <v>0</v>
      </c>
      <c r="L28" s="254">
        <v>1387</v>
      </c>
      <c r="M28" s="254">
        <v>100</v>
      </c>
    </row>
    <row r="29" spans="1:13" ht="25.05" customHeight="1" x14ac:dyDescent="0.3">
      <c r="A29" s="253" t="s">
        <v>39</v>
      </c>
      <c r="B29" s="252" t="s">
        <v>60</v>
      </c>
      <c r="C29" s="252" t="s">
        <v>61</v>
      </c>
      <c r="D29" s="252" t="s">
        <v>62</v>
      </c>
      <c r="E29" s="252" t="s">
        <v>46</v>
      </c>
      <c r="F29" s="253" t="s">
        <v>21</v>
      </c>
      <c r="G29" s="253" t="s">
        <v>22</v>
      </c>
      <c r="H29" s="254">
        <v>951</v>
      </c>
      <c r="I29" s="254">
        <v>0</v>
      </c>
      <c r="J29" s="254">
        <v>951</v>
      </c>
      <c r="K29" s="254">
        <v>0</v>
      </c>
      <c r="L29" s="254">
        <v>951</v>
      </c>
      <c r="M29" s="254">
        <v>100</v>
      </c>
    </row>
    <row r="30" spans="1:13" ht="25.05" customHeight="1" x14ac:dyDescent="0.3">
      <c r="A30" s="253" t="s">
        <v>39</v>
      </c>
      <c r="B30" s="252" t="s">
        <v>63</v>
      </c>
      <c r="C30" s="273" t="s">
        <v>1821</v>
      </c>
      <c r="D30" s="252" t="s">
        <v>62</v>
      </c>
      <c r="E30" s="252" t="s">
        <v>46</v>
      </c>
      <c r="F30" s="253" t="s">
        <v>21</v>
      </c>
      <c r="G30" s="253" t="s">
        <v>22</v>
      </c>
      <c r="H30" s="254">
        <v>494</v>
      </c>
      <c r="I30" s="254">
        <v>461</v>
      </c>
      <c r="J30" s="254">
        <v>494</v>
      </c>
      <c r="K30" s="254">
        <v>461</v>
      </c>
      <c r="L30" s="254">
        <v>33</v>
      </c>
      <c r="M30" s="254">
        <v>7.1583514099783088</v>
      </c>
    </row>
    <row r="31" spans="1:13" ht="25.05" customHeight="1" x14ac:dyDescent="0.3">
      <c r="A31" s="253" t="s">
        <v>39</v>
      </c>
      <c r="B31" s="252" t="s">
        <v>65</v>
      </c>
      <c r="C31" s="252" t="s">
        <v>66</v>
      </c>
      <c r="D31" s="252" t="s">
        <v>62</v>
      </c>
      <c r="E31" s="252" t="s">
        <v>46</v>
      </c>
      <c r="F31" s="253" t="s">
        <v>21</v>
      </c>
      <c r="G31" s="253" t="s">
        <v>22</v>
      </c>
      <c r="H31" s="254">
        <v>125</v>
      </c>
      <c r="I31" s="254">
        <v>0</v>
      </c>
      <c r="J31" s="254">
        <v>125</v>
      </c>
      <c r="K31" s="254">
        <v>0</v>
      </c>
      <c r="L31" s="254">
        <v>125</v>
      </c>
      <c r="M31" s="254" t="s">
        <v>67</v>
      </c>
    </row>
    <row r="32" spans="1:13" ht="25.05" customHeight="1" x14ac:dyDescent="0.3">
      <c r="A32" s="253" t="s">
        <v>39</v>
      </c>
      <c r="B32" s="252" t="s">
        <v>68</v>
      </c>
      <c r="C32" s="252">
        <v>0</v>
      </c>
      <c r="D32" s="252" t="s">
        <v>62</v>
      </c>
      <c r="E32" s="252" t="s">
        <v>20</v>
      </c>
      <c r="F32" s="253" t="s">
        <v>21</v>
      </c>
      <c r="G32" s="253" t="s">
        <v>22</v>
      </c>
      <c r="H32" s="254">
        <v>539</v>
      </c>
      <c r="I32" s="254">
        <v>0</v>
      </c>
      <c r="J32" s="254">
        <v>539</v>
      </c>
      <c r="K32" s="254">
        <v>0</v>
      </c>
      <c r="L32" s="254">
        <v>539</v>
      </c>
      <c r="M32" s="254">
        <v>100</v>
      </c>
    </row>
    <row r="33" spans="1:13" ht="25.05" customHeight="1" x14ac:dyDescent="0.3">
      <c r="A33" s="253" t="s">
        <v>39</v>
      </c>
      <c r="B33" s="252" t="s">
        <v>69</v>
      </c>
      <c r="C33" s="252">
        <v>0</v>
      </c>
      <c r="D33" s="252" t="s">
        <v>62</v>
      </c>
      <c r="E33" s="252" t="s">
        <v>20</v>
      </c>
      <c r="F33" s="253" t="s">
        <v>21</v>
      </c>
      <c r="G33" s="253" t="s">
        <v>22</v>
      </c>
      <c r="H33" s="254">
        <v>3496</v>
      </c>
      <c r="I33" s="254">
        <v>461</v>
      </c>
      <c r="J33" s="254">
        <v>3496</v>
      </c>
      <c r="K33" s="254">
        <v>461</v>
      </c>
      <c r="L33" s="254">
        <v>3035</v>
      </c>
      <c r="M33" s="254">
        <v>658.35140997830808</v>
      </c>
    </row>
    <row r="34" spans="1:13" ht="25.05" customHeight="1" x14ac:dyDescent="0.3">
      <c r="A34" s="253" t="s">
        <v>39</v>
      </c>
      <c r="B34" s="252" t="s">
        <v>70</v>
      </c>
      <c r="C34" s="252" t="s">
        <v>71</v>
      </c>
      <c r="D34" s="252" t="s">
        <v>72</v>
      </c>
      <c r="E34" s="252" t="s">
        <v>46</v>
      </c>
      <c r="F34" s="253" t="s">
        <v>21</v>
      </c>
      <c r="G34" s="253" t="s">
        <v>22</v>
      </c>
      <c r="H34" s="254">
        <v>378</v>
      </c>
      <c r="I34" s="254">
        <v>0</v>
      </c>
      <c r="J34" s="254">
        <v>378</v>
      </c>
      <c r="K34" s="254">
        <v>0</v>
      </c>
      <c r="L34" s="254">
        <v>378</v>
      </c>
      <c r="M34" s="254">
        <v>100</v>
      </c>
    </row>
    <row r="35" spans="1:13" ht="25.05" customHeight="1" x14ac:dyDescent="0.3">
      <c r="A35" s="253" t="s">
        <v>39</v>
      </c>
      <c r="B35" s="252" t="s">
        <v>73</v>
      </c>
      <c r="C35" s="273" t="s">
        <v>1822</v>
      </c>
      <c r="D35" s="252" t="s">
        <v>72</v>
      </c>
      <c r="E35" s="252" t="s">
        <v>46</v>
      </c>
      <c r="F35" s="253" t="s">
        <v>21</v>
      </c>
      <c r="G35" s="253" t="s">
        <v>22</v>
      </c>
      <c r="H35" s="254">
        <v>326</v>
      </c>
      <c r="I35" s="254">
        <v>0</v>
      </c>
      <c r="J35" s="254">
        <v>326</v>
      </c>
      <c r="K35" s="254">
        <v>0</v>
      </c>
      <c r="L35" s="254">
        <v>326</v>
      </c>
      <c r="M35" s="254">
        <v>100</v>
      </c>
    </row>
    <row r="36" spans="1:13" ht="25.05" customHeight="1" x14ac:dyDescent="0.3">
      <c r="A36" s="253" t="s">
        <v>39</v>
      </c>
      <c r="B36" s="252" t="s">
        <v>75</v>
      </c>
      <c r="C36" s="252" t="s">
        <v>76</v>
      </c>
      <c r="D36" s="252" t="s">
        <v>43</v>
      </c>
      <c r="E36" s="252" t="s">
        <v>46</v>
      </c>
      <c r="F36" s="253" t="s">
        <v>21</v>
      </c>
      <c r="G36" s="253" t="s">
        <v>22</v>
      </c>
      <c r="H36" s="254">
        <v>787</v>
      </c>
      <c r="I36" s="254">
        <v>0</v>
      </c>
      <c r="J36" s="254">
        <v>787</v>
      </c>
      <c r="K36" s="254">
        <v>0</v>
      </c>
      <c r="L36" s="254">
        <v>787</v>
      </c>
      <c r="M36" s="254">
        <v>100</v>
      </c>
    </row>
    <row r="37" spans="1:13" ht="25.05" customHeight="1" x14ac:dyDescent="0.3">
      <c r="A37" s="253" t="s">
        <v>39</v>
      </c>
      <c r="B37" s="252" t="s">
        <v>77</v>
      </c>
      <c r="C37" s="252">
        <v>0</v>
      </c>
      <c r="D37" s="252" t="s">
        <v>72</v>
      </c>
      <c r="E37" s="252" t="s">
        <v>20</v>
      </c>
      <c r="F37" s="253" t="s">
        <v>21</v>
      </c>
      <c r="G37" s="253" t="s">
        <v>22</v>
      </c>
      <c r="H37" s="254">
        <v>693</v>
      </c>
      <c r="I37" s="254">
        <v>0</v>
      </c>
      <c r="J37" s="254">
        <v>693</v>
      </c>
      <c r="K37" s="254">
        <v>0</v>
      </c>
      <c r="L37" s="254">
        <v>693</v>
      </c>
      <c r="M37" s="254">
        <v>100</v>
      </c>
    </row>
    <row r="38" spans="1:13" ht="25.05" customHeight="1" x14ac:dyDescent="0.3">
      <c r="A38" s="253" t="s">
        <v>39</v>
      </c>
      <c r="B38" s="252" t="s">
        <v>78</v>
      </c>
      <c r="C38" s="252">
        <v>0</v>
      </c>
      <c r="D38" s="252" t="s">
        <v>72</v>
      </c>
      <c r="E38" s="252" t="s">
        <v>20</v>
      </c>
      <c r="F38" s="253" t="s">
        <v>21</v>
      </c>
      <c r="G38" s="253" t="s">
        <v>22</v>
      </c>
      <c r="H38" s="254">
        <v>2184</v>
      </c>
      <c r="I38" s="254">
        <v>0</v>
      </c>
      <c r="J38" s="254">
        <v>2184</v>
      </c>
      <c r="K38" s="254">
        <v>0</v>
      </c>
      <c r="L38" s="254">
        <v>2184</v>
      </c>
      <c r="M38" s="254">
        <v>100</v>
      </c>
    </row>
    <row r="39" spans="1:13" ht="25.05" customHeight="1" x14ac:dyDescent="0.3">
      <c r="A39" s="253" t="s">
        <v>39</v>
      </c>
      <c r="B39" s="252" t="s">
        <v>79</v>
      </c>
      <c r="C39" s="273" t="s">
        <v>1823</v>
      </c>
      <c r="D39" s="252" t="s">
        <v>81</v>
      </c>
      <c r="E39" s="252" t="s">
        <v>46</v>
      </c>
      <c r="F39" s="253" t="s">
        <v>21</v>
      </c>
      <c r="G39" s="253" t="s">
        <v>22</v>
      </c>
      <c r="H39" s="254">
        <v>356</v>
      </c>
      <c r="I39" s="254">
        <v>0</v>
      </c>
      <c r="J39" s="254">
        <v>356</v>
      </c>
      <c r="K39" s="254">
        <v>0</v>
      </c>
      <c r="L39" s="254">
        <v>356</v>
      </c>
      <c r="M39" s="254">
        <v>100</v>
      </c>
    </row>
    <row r="40" spans="1:13" ht="25.05" customHeight="1" x14ac:dyDescent="0.3">
      <c r="A40" s="253" t="s">
        <v>39</v>
      </c>
      <c r="B40" s="252" t="s">
        <v>82</v>
      </c>
      <c r="C40" s="252" t="s">
        <v>83</v>
      </c>
      <c r="D40" s="252" t="s">
        <v>84</v>
      </c>
      <c r="E40" s="252" t="s">
        <v>46</v>
      </c>
      <c r="F40" s="253" t="s">
        <v>21</v>
      </c>
      <c r="G40" s="253" t="s">
        <v>22</v>
      </c>
      <c r="H40" s="254">
        <v>125</v>
      </c>
      <c r="I40" s="254">
        <v>93</v>
      </c>
      <c r="J40" s="254">
        <v>125</v>
      </c>
      <c r="K40" s="254">
        <v>93</v>
      </c>
      <c r="L40" s="254">
        <v>32</v>
      </c>
      <c r="M40" s="254">
        <v>34.408602150537639</v>
      </c>
    </row>
    <row r="41" spans="1:13" ht="25.05" customHeight="1" x14ac:dyDescent="0.3">
      <c r="A41" s="253" t="s">
        <v>39</v>
      </c>
      <c r="B41" s="252" t="s">
        <v>85</v>
      </c>
      <c r="C41" s="252">
        <v>0</v>
      </c>
      <c r="D41" s="252" t="s">
        <v>84</v>
      </c>
      <c r="E41" s="252" t="s">
        <v>20</v>
      </c>
      <c r="F41" s="253" t="s">
        <v>21</v>
      </c>
      <c r="G41" s="253" t="s">
        <v>22</v>
      </c>
      <c r="H41" s="254">
        <v>192</v>
      </c>
      <c r="I41" s="254">
        <v>0</v>
      </c>
      <c r="J41" s="254">
        <v>192</v>
      </c>
      <c r="K41" s="254">
        <v>0</v>
      </c>
      <c r="L41" s="254">
        <v>192</v>
      </c>
      <c r="M41" s="254">
        <v>100</v>
      </c>
    </row>
    <row r="42" spans="1:13" ht="25.05" customHeight="1" x14ac:dyDescent="0.3">
      <c r="A42" s="253" t="s">
        <v>39</v>
      </c>
      <c r="B42" s="252" t="s">
        <v>86</v>
      </c>
      <c r="C42" s="252">
        <v>0</v>
      </c>
      <c r="D42" s="252" t="s">
        <v>84</v>
      </c>
      <c r="E42" s="252" t="s">
        <v>20</v>
      </c>
      <c r="F42" s="253" t="s">
        <v>21</v>
      </c>
      <c r="G42" s="253" t="s">
        <v>22</v>
      </c>
      <c r="H42" s="254">
        <v>673</v>
      </c>
      <c r="I42" s="254">
        <v>93</v>
      </c>
      <c r="J42" s="254">
        <v>673</v>
      </c>
      <c r="K42" s="254">
        <v>93</v>
      </c>
      <c r="L42" s="254">
        <v>580</v>
      </c>
      <c r="M42" s="254">
        <v>623.6559139784946</v>
      </c>
    </row>
    <row r="43" spans="1:13" ht="25.05" customHeight="1" x14ac:dyDescent="0.3">
      <c r="A43" s="253" t="s">
        <v>39</v>
      </c>
      <c r="B43" s="252" t="s">
        <v>87</v>
      </c>
      <c r="C43" s="273" t="s">
        <v>1824</v>
      </c>
      <c r="D43" s="252" t="s">
        <v>89</v>
      </c>
      <c r="E43" s="252" t="s">
        <v>46</v>
      </c>
      <c r="F43" s="253" t="s">
        <v>21</v>
      </c>
      <c r="G43" s="253" t="s">
        <v>22</v>
      </c>
      <c r="H43" s="254">
        <v>1830</v>
      </c>
      <c r="I43" s="254">
        <v>2893</v>
      </c>
      <c r="J43" s="254">
        <v>1830</v>
      </c>
      <c r="K43" s="254">
        <v>2893</v>
      </c>
      <c r="L43" s="254">
        <v>-1063</v>
      </c>
      <c r="M43" s="254">
        <v>-36.743864500518491</v>
      </c>
    </row>
    <row r="44" spans="1:13" ht="25.05" customHeight="1" x14ac:dyDescent="0.3">
      <c r="A44" s="253" t="s">
        <v>39</v>
      </c>
      <c r="B44" s="252" t="s">
        <v>90</v>
      </c>
      <c r="C44" s="252" t="s">
        <v>91</v>
      </c>
      <c r="D44" s="252" t="s">
        <v>92</v>
      </c>
      <c r="E44" s="252" t="s">
        <v>40</v>
      </c>
      <c r="F44" s="253" t="s">
        <v>21</v>
      </c>
      <c r="G44" s="253" t="s">
        <v>22</v>
      </c>
      <c r="H44" s="254">
        <v>1114</v>
      </c>
      <c r="I44" s="254">
        <v>1041</v>
      </c>
      <c r="J44" s="254">
        <v>1114</v>
      </c>
      <c r="K44" s="254">
        <v>1041</v>
      </c>
      <c r="L44" s="254">
        <v>73</v>
      </c>
      <c r="M44" s="254">
        <v>7.0124879923150818</v>
      </c>
    </row>
    <row r="45" spans="1:13" ht="25.05" customHeight="1" x14ac:dyDescent="0.3">
      <c r="A45" s="253" t="s">
        <v>39</v>
      </c>
      <c r="B45" s="252" t="s">
        <v>93</v>
      </c>
      <c r="C45" s="252" t="s">
        <v>94</v>
      </c>
      <c r="D45" s="252" t="s">
        <v>49</v>
      </c>
      <c r="E45" s="252" t="s">
        <v>46</v>
      </c>
      <c r="F45" s="253" t="s">
        <v>21</v>
      </c>
      <c r="G45" s="253" t="s">
        <v>22</v>
      </c>
      <c r="H45" s="254">
        <v>752</v>
      </c>
      <c r="I45" s="254">
        <v>887</v>
      </c>
      <c r="J45" s="254">
        <v>752</v>
      </c>
      <c r="K45" s="254">
        <v>887</v>
      </c>
      <c r="L45" s="254">
        <v>-135</v>
      </c>
      <c r="M45" s="254">
        <v>-15.219842164599775</v>
      </c>
    </row>
    <row r="46" spans="1:13" ht="25.05" customHeight="1" x14ac:dyDescent="0.3">
      <c r="A46" s="253" t="s">
        <v>39</v>
      </c>
      <c r="B46" s="252" t="s">
        <v>95</v>
      </c>
      <c r="C46" s="252" t="s">
        <v>96</v>
      </c>
      <c r="D46" s="252" t="s">
        <v>97</v>
      </c>
      <c r="E46" s="252" t="s">
        <v>46</v>
      </c>
      <c r="F46" s="253" t="s">
        <v>21</v>
      </c>
      <c r="G46" s="253" t="s">
        <v>22</v>
      </c>
      <c r="H46" s="254">
        <v>667</v>
      </c>
      <c r="I46" s="254">
        <v>0</v>
      </c>
      <c r="J46" s="254">
        <v>667</v>
      </c>
      <c r="K46" s="254">
        <v>0</v>
      </c>
      <c r="L46" s="254">
        <v>667</v>
      </c>
      <c r="M46" s="254">
        <v>100</v>
      </c>
    </row>
    <row r="47" spans="1:13" ht="25.05" customHeight="1" x14ac:dyDescent="0.3">
      <c r="A47" s="253" t="s">
        <v>39</v>
      </c>
      <c r="B47" s="252" t="s">
        <v>98</v>
      </c>
      <c r="C47" s="252" t="s">
        <v>99</v>
      </c>
      <c r="D47" s="252" t="s">
        <v>100</v>
      </c>
      <c r="E47" s="252" t="s">
        <v>46</v>
      </c>
      <c r="F47" s="253" t="s">
        <v>21</v>
      </c>
      <c r="G47" s="253" t="s">
        <v>22</v>
      </c>
      <c r="H47" s="254">
        <v>771</v>
      </c>
      <c r="I47" s="254">
        <v>786</v>
      </c>
      <c r="J47" s="254">
        <v>771</v>
      </c>
      <c r="K47" s="254">
        <v>786</v>
      </c>
      <c r="L47" s="254">
        <v>-15</v>
      </c>
      <c r="M47" s="254">
        <v>-1.9083969465648856</v>
      </c>
    </row>
    <row r="48" spans="1:13" ht="25.05" customHeight="1" x14ac:dyDescent="0.3">
      <c r="A48" s="253" t="s">
        <v>39</v>
      </c>
      <c r="B48" s="252" t="s">
        <v>23</v>
      </c>
      <c r="C48" s="252">
        <v>0</v>
      </c>
      <c r="D48" s="252">
        <v>0</v>
      </c>
      <c r="E48" s="252" t="s">
        <v>20</v>
      </c>
      <c r="F48" s="253" t="s">
        <v>21</v>
      </c>
      <c r="G48" s="253" t="s">
        <v>22</v>
      </c>
      <c r="H48" s="254">
        <v>2923</v>
      </c>
      <c r="I48" s="254">
        <v>2068</v>
      </c>
      <c r="J48" s="254">
        <v>2923</v>
      </c>
      <c r="K48" s="254">
        <v>2068</v>
      </c>
      <c r="L48" s="254">
        <v>855</v>
      </c>
      <c r="M48" s="254">
        <v>41.34429400386847</v>
      </c>
    </row>
    <row r="49" spans="1:13" s="262" customFormat="1" ht="25.05" customHeight="1" x14ac:dyDescent="0.3">
      <c r="A49" s="267" t="s">
        <v>39</v>
      </c>
      <c r="B49" s="268" t="s">
        <v>101</v>
      </c>
      <c r="C49" s="268">
        <v>0</v>
      </c>
      <c r="D49" s="268">
        <v>0</v>
      </c>
      <c r="E49" s="268" t="s">
        <v>20</v>
      </c>
      <c r="F49" s="267" t="s">
        <v>21</v>
      </c>
      <c r="G49" s="267" t="s">
        <v>22</v>
      </c>
      <c r="H49" s="269">
        <v>45804</v>
      </c>
      <c r="I49" s="269">
        <v>33266</v>
      </c>
      <c r="J49" s="269">
        <v>45804</v>
      </c>
      <c r="K49" s="269">
        <v>33266</v>
      </c>
      <c r="L49" s="269">
        <v>12538</v>
      </c>
      <c r="M49" s="269">
        <v>37.690134070823063</v>
      </c>
    </row>
    <row r="50" spans="1:13" ht="25.05" customHeight="1" x14ac:dyDescent="0.3">
      <c r="A50" s="253" t="s">
        <v>102</v>
      </c>
      <c r="B50" s="252" t="s">
        <v>1691</v>
      </c>
      <c r="C50" s="252"/>
      <c r="D50" s="252">
        <v>0</v>
      </c>
      <c r="E50" s="252" t="s">
        <v>20</v>
      </c>
      <c r="F50" s="253" t="s">
        <v>21</v>
      </c>
      <c r="G50" s="253" t="s">
        <v>22</v>
      </c>
      <c r="H50" s="254">
        <v>1126</v>
      </c>
      <c r="I50" s="254">
        <v>1210</v>
      </c>
      <c r="J50" s="254">
        <v>1126</v>
      </c>
      <c r="K50" s="254">
        <v>1210</v>
      </c>
      <c r="L50" s="254">
        <v>-84</v>
      </c>
      <c r="M50" s="254">
        <v>-6.9421487603305785</v>
      </c>
    </row>
    <row r="51" spans="1:13" ht="25.05" customHeight="1" x14ac:dyDescent="0.3">
      <c r="A51" s="253" t="s">
        <v>102</v>
      </c>
      <c r="B51" s="252" t="s">
        <v>103</v>
      </c>
      <c r="C51" s="252"/>
      <c r="D51" s="252">
        <v>0</v>
      </c>
      <c r="E51" s="252" t="s">
        <v>20</v>
      </c>
      <c r="F51" s="253" t="s">
        <v>21</v>
      </c>
      <c r="G51" s="253" t="s">
        <v>22</v>
      </c>
      <c r="H51" s="254">
        <v>1952</v>
      </c>
      <c r="I51" s="254">
        <v>2304</v>
      </c>
      <c r="J51" s="254">
        <v>1952</v>
      </c>
      <c r="K51" s="254">
        <v>2304</v>
      </c>
      <c r="L51" s="254">
        <v>-352</v>
      </c>
      <c r="M51" s="254">
        <v>-15.277777777777779</v>
      </c>
    </row>
    <row r="52" spans="1:13" ht="25.05" customHeight="1" x14ac:dyDescent="0.3">
      <c r="A52" s="253" t="s">
        <v>102</v>
      </c>
      <c r="B52" s="252" t="s">
        <v>104</v>
      </c>
      <c r="C52" s="252"/>
      <c r="D52" s="252">
        <v>0</v>
      </c>
      <c r="E52" s="252" t="s">
        <v>20</v>
      </c>
      <c r="F52" s="253" t="s">
        <v>21</v>
      </c>
      <c r="G52" s="253" t="s">
        <v>22</v>
      </c>
      <c r="H52" s="254">
        <v>632</v>
      </c>
      <c r="I52" s="254">
        <v>660</v>
      </c>
      <c r="J52" s="254">
        <v>632</v>
      </c>
      <c r="K52" s="254">
        <v>660</v>
      </c>
      <c r="L52" s="254">
        <v>-28</v>
      </c>
      <c r="M52" s="254">
        <v>-4.2424242424242431</v>
      </c>
    </row>
    <row r="53" spans="1:13" ht="25.05" customHeight="1" x14ac:dyDescent="0.3">
      <c r="A53" s="253" t="s">
        <v>102</v>
      </c>
      <c r="B53" s="252" t="s">
        <v>105</v>
      </c>
      <c r="C53" s="252"/>
      <c r="D53" s="252">
        <v>0</v>
      </c>
      <c r="E53" s="252" t="s">
        <v>20</v>
      </c>
      <c r="F53" s="253" t="s">
        <v>21</v>
      </c>
      <c r="G53" s="253" t="s">
        <v>22</v>
      </c>
      <c r="H53" s="254">
        <v>3710</v>
      </c>
      <c r="I53" s="254">
        <v>4174</v>
      </c>
      <c r="J53" s="254">
        <v>3710</v>
      </c>
      <c r="K53" s="254">
        <v>4174</v>
      </c>
      <c r="L53" s="254">
        <v>-464</v>
      </c>
      <c r="M53" s="254">
        <v>-11.116435074269287</v>
      </c>
    </row>
    <row r="54" spans="1:13" ht="25.05" customHeight="1" x14ac:dyDescent="0.3">
      <c r="A54" s="253" t="s">
        <v>102</v>
      </c>
      <c r="B54" s="252" t="s">
        <v>106</v>
      </c>
      <c r="C54" s="252"/>
      <c r="D54" s="252" t="s">
        <v>72</v>
      </c>
      <c r="E54" s="252" t="s">
        <v>20</v>
      </c>
      <c r="F54" s="253" t="s">
        <v>21</v>
      </c>
      <c r="G54" s="253" t="s">
        <v>22</v>
      </c>
      <c r="H54" s="254">
        <v>1838</v>
      </c>
      <c r="I54" s="254">
        <v>1969</v>
      </c>
      <c r="J54" s="254">
        <v>1838</v>
      </c>
      <c r="K54" s="254">
        <v>1969</v>
      </c>
      <c r="L54" s="254">
        <v>-131</v>
      </c>
      <c r="M54" s="254">
        <v>-6.6531234128999488</v>
      </c>
    </row>
    <row r="55" spans="1:13" ht="25.05" customHeight="1" x14ac:dyDescent="0.3">
      <c r="A55" s="253" t="s">
        <v>102</v>
      </c>
      <c r="B55" s="252" t="s">
        <v>107</v>
      </c>
      <c r="C55" s="252"/>
      <c r="D55" s="252" t="s">
        <v>72</v>
      </c>
      <c r="E55" s="252" t="s">
        <v>20</v>
      </c>
      <c r="F55" s="253" t="s">
        <v>21</v>
      </c>
      <c r="G55" s="253" t="s">
        <v>22</v>
      </c>
      <c r="H55" s="254">
        <v>1215</v>
      </c>
      <c r="I55" s="254">
        <v>1219</v>
      </c>
      <c r="J55" s="254">
        <v>1215</v>
      </c>
      <c r="K55" s="254">
        <v>1219</v>
      </c>
      <c r="L55" s="254">
        <v>-4</v>
      </c>
      <c r="M55" s="254">
        <v>-0.3281378178835111</v>
      </c>
    </row>
    <row r="56" spans="1:13" ht="25.05" customHeight="1" x14ac:dyDescent="0.3">
      <c r="A56" s="253" t="s">
        <v>102</v>
      </c>
      <c r="B56" s="252" t="s">
        <v>108</v>
      </c>
      <c r="C56" s="252"/>
      <c r="D56" s="252">
        <v>0</v>
      </c>
      <c r="E56" s="252" t="s">
        <v>20</v>
      </c>
      <c r="F56" s="253" t="s">
        <v>21</v>
      </c>
      <c r="G56" s="253" t="s">
        <v>22</v>
      </c>
      <c r="H56" s="254">
        <v>3053</v>
      </c>
      <c r="I56" s="254">
        <v>3188</v>
      </c>
      <c r="J56" s="254">
        <v>3053</v>
      </c>
      <c r="K56" s="254">
        <v>3188</v>
      </c>
      <c r="L56" s="254">
        <v>-135</v>
      </c>
      <c r="M56" s="254">
        <v>-4.2346298619824339</v>
      </c>
    </row>
    <row r="57" spans="1:13" s="262" customFormat="1" ht="25.05" customHeight="1" x14ac:dyDescent="0.3">
      <c r="A57" s="267" t="s">
        <v>102</v>
      </c>
      <c r="B57" s="268" t="s">
        <v>109</v>
      </c>
      <c r="C57" s="268"/>
      <c r="D57" s="268">
        <v>0</v>
      </c>
      <c r="E57" s="268" t="s">
        <v>20</v>
      </c>
      <c r="F57" s="267" t="s">
        <v>21</v>
      </c>
      <c r="G57" s="267" t="s">
        <v>22</v>
      </c>
      <c r="H57" s="269">
        <v>6763</v>
      </c>
      <c r="I57" s="269">
        <v>7362</v>
      </c>
      <c r="J57" s="269">
        <v>6763</v>
      </c>
      <c r="K57" s="269">
        <v>7362</v>
      </c>
      <c r="L57" s="269">
        <v>-599</v>
      </c>
      <c r="M57" s="269">
        <v>-8.1363759847867421</v>
      </c>
    </row>
    <row r="58" spans="1:13" ht="25.05" customHeight="1" x14ac:dyDescent="0.3">
      <c r="A58" s="253" t="s">
        <v>110</v>
      </c>
      <c r="B58" s="252" t="s">
        <v>1693</v>
      </c>
      <c r="C58" s="252" t="s">
        <v>1694</v>
      </c>
      <c r="D58" s="252" t="s">
        <v>113</v>
      </c>
      <c r="E58" s="252" t="s">
        <v>40</v>
      </c>
      <c r="F58" s="253" t="s">
        <v>21</v>
      </c>
      <c r="G58" s="253" t="s">
        <v>22</v>
      </c>
      <c r="H58" s="254">
        <v>4064.2</v>
      </c>
      <c r="I58" s="254">
        <v>3946.4</v>
      </c>
      <c r="J58" s="254">
        <v>4064.2</v>
      </c>
      <c r="K58" s="254">
        <v>3946.4</v>
      </c>
      <c r="L58" s="254">
        <v>117.79999999999973</v>
      </c>
      <c r="M58" s="254">
        <v>2.9849989864179944</v>
      </c>
    </row>
    <row r="59" spans="1:13" ht="25.05" customHeight="1" x14ac:dyDescent="0.3">
      <c r="A59" s="253" t="s">
        <v>110</v>
      </c>
      <c r="B59" s="252" t="s">
        <v>111</v>
      </c>
      <c r="C59" s="252" t="s">
        <v>112</v>
      </c>
      <c r="D59" s="252" t="s">
        <v>113</v>
      </c>
      <c r="E59" s="252" t="s">
        <v>40</v>
      </c>
      <c r="F59" s="253" t="s">
        <v>21</v>
      </c>
      <c r="G59" s="253" t="s">
        <v>22</v>
      </c>
      <c r="H59" s="254">
        <v>1076.7</v>
      </c>
      <c r="I59" s="254">
        <v>338.9</v>
      </c>
      <c r="J59" s="254">
        <v>1076.7</v>
      </c>
      <c r="K59" s="254">
        <v>338.9</v>
      </c>
      <c r="L59" s="254">
        <v>737.80000000000007</v>
      </c>
      <c r="M59" s="254">
        <v>217.70433756270288</v>
      </c>
    </row>
    <row r="60" spans="1:13" ht="25.05" customHeight="1" x14ac:dyDescent="0.3">
      <c r="A60" s="253" t="s">
        <v>110</v>
      </c>
      <c r="B60" s="252" t="s">
        <v>114</v>
      </c>
      <c r="C60" s="252" t="s">
        <v>115</v>
      </c>
      <c r="D60" s="252" t="s">
        <v>116</v>
      </c>
      <c r="E60" s="252" t="s">
        <v>40</v>
      </c>
      <c r="F60" s="253" t="s">
        <v>21</v>
      </c>
      <c r="G60" s="253" t="s">
        <v>22</v>
      </c>
      <c r="H60" s="254">
        <v>731.8</v>
      </c>
      <c r="I60" s="254">
        <v>592.5</v>
      </c>
      <c r="J60" s="254">
        <v>731.8</v>
      </c>
      <c r="K60" s="254">
        <v>592.5</v>
      </c>
      <c r="L60" s="254">
        <v>139.29999999999995</v>
      </c>
      <c r="M60" s="254">
        <v>23.510548523206744</v>
      </c>
    </row>
    <row r="61" spans="1:13" ht="25.05" customHeight="1" x14ac:dyDescent="0.3">
      <c r="A61" s="253" t="s">
        <v>110</v>
      </c>
      <c r="B61" s="252" t="s">
        <v>117</v>
      </c>
      <c r="C61" s="252" t="s">
        <v>118</v>
      </c>
      <c r="D61" s="252" t="s">
        <v>113</v>
      </c>
      <c r="E61" s="252" t="s">
        <v>40</v>
      </c>
      <c r="F61" s="253" t="s">
        <v>21</v>
      </c>
      <c r="G61" s="253" t="s">
        <v>22</v>
      </c>
      <c r="H61" s="254">
        <v>78.5</v>
      </c>
      <c r="I61" s="254">
        <v>0</v>
      </c>
      <c r="J61" s="254">
        <v>78.5</v>
      </c>
      <c r="K61" s="254">
        <v>0</v>
      </c>
      <c r="L61" s="254">
        <v>78.5</v>
      </c>
      <c r="M61" s="254" t="s">
        <v>67</v>
      </c>
    </row>
    <row r="62" spans="1:13" ht="25.05" customHeight="1" x14ac:dyDescent="0.3">
      <c r="A62" s="253" t="s">
        <v>110</v>
      </c>
      <c r="B62" s="252" t="s">
        <v>119</v>
      </c>
      <c r="C62" s="252" t="s">
        <v>120</v>
      </c>
      <c r="D62" s="252" t="s">
        <v>116</v>
      </c>
      <c r="E62" s="252" t="s">
        <v>40</v>
      </c>
      <c r="F62" s="253" t="s">
        <v>21</v>
      </c>
      <c r="G62" s="253" t="s">
        <v>22</v>
      </c>
      <c r="H62" s="254">
        <v>117.9</v>
      </c>
      <c r="I62" s="254">
        <v>112.2</v>
      </c>
      <c r="J62" s="254">
        <v>117.9</v>
      </c>
      <c r="K62" s="254">
        <v>112.2</v>
      </c>
      <c r="L62" s="254">
        <v>5.7000000000000028</v>
      </c>
      <c r="M62" s="254">
        <v>5.080213903743318</v>
      </c>
    </row>
    <row r="63" spans="1:13" ht="25.05" customHeight="1" x14ac:dyDescent="0.3">
      <c r="A63" s="253" t="s">
        <v>110</v>
      </c>
      <c r="B63" s="252" t="s">
        <v>121</v>
      </c>
      <c r="C63" s="252">
        <v>0</v>
      </c>
      <c r="D63" s="252">
        <v>0</v>
      </c>
      <c r="E63" s="252" t="s">
        <v>20</v>
      </c>
      <c r="F63" s="253" t="s">
        <v>21</v>
      </c>
      <c r="G63" s="253" t="s">
        <v>22</v>
      </c>
      <c r="H63" s="254">
        <v>0.8</v>
      </c>
      <c r="I63" s="254">
        <v>1.1000000000000001</v>
      </c>
      <c r="J63" s="254">
        <v>0.8</v>
      </c>
      <c r="K63" s="254">
        <v>1.1000000000000001</v>
      </c>
      <c r="L63" s="254">
        <v>-0.30000000000000004</v>
      </c>
      <c r="M63" s="254">
        <v>-27.272727272727277</v>
      </c>
    </row>
    <row r="64" spans="1:13" s="262" customFormat="1" ht="25.05" customHeight="1" x14ac:dyDescent="0.3">
      <c r="A64" s="267" t="s">
        <v>110</v>
      </c>
      <c r="B64" s="268" t="s">
        <v>122</v>
      </c>
      <c r="C64" s="268">
        <v>0</v>
      </c>
      <c r="D64" s="268">
        <v>0</v>
      </c>
      <c r="E64" s="268" t="s">
        <v>20</v>
      </c>
      <c r="F64" s="267" t="s">
        <v>21</v>
      </c>
      <c r="G64" s="267" t="s">
        <v>22</v>
      </c>
      <c r="H64" s="269">
        <v>6069.9</v>
      </c>
      <c r="I64" s="269">
        <v>4991.1000000000004</v>
      </c>
      <c r="J64" s="269">
        <v>6069.9</v>
      </c>
      <c r="K64" s="269">
        <v>4991.1000000000004</v>
      </c>
      <c r="L64" s="269">
        <v>1078.7999999999993</v>
      </c>
      <c r="M64" s="269">
        <v>21.614473763298655</v>
      </c>
    </row>
    <row r="65" spans="1:13" ht="25.05" customHeight="1" x14ac:dyDescent="0.3">
      <c r="A65" s="253" t="s">
        <v>166</v>
      </c>
      <c r="B65" s="252" t="s">
        <v>1697</v>
      </c>
      <c r="C65" s="252" t="s">
        <v>1698</v>
      </c>
      <c r="D65" s="252" t="s">
        <v>169</v>
      </c>
      <c r="E65" s="252" t="s">
        <v>46</v>
      </c>
      <c r="F65" s="253" t="s">
        <v>21</v>
      </c>
      <c r="G65" s="253" t="s">
        <v>22</v>
      </c>
      <c r="H65" s="254">
        <v>306.08100000000002</v>
      </c>
      <c r="I65" s="254">
        <v>166.387</v>
      </c>
      <c r="J65" s="254">
        <v>306.08100000000002</v>
      </c>
      <c r="K65" s="254">
        <v>166.387</v>
      </c>
      <c r="L65" s="254">
        <v>139.69400000000002</v>
      </c>
      <c r="M65" s="254">
        <v>83.95728031637087</v>
      </c>
    </row>
    <row r="66" spans="1:13" ht="25.05" customHeight="1" x14ac:dyDescent="0.3">
      <c r="A66" s="253" t="s">
        <v>166</v>
      </c>
      <c r="B66" s="252" t="s">
        <v>167</v>
      </c>
      <c r="C66" s="252" t="s">
        <v>168</v>
      </c>
      <c r="D66" s="252" t="s">
        <v>169</v>
      </c>
      <c r="E66" s="252" t="s">
        <v>46</v>
      </c>
      <c r="F66" s="253" t="s">
        <v>21</v>
      </c>
      <c r="G66" s="253" t="s">
        <v>22</v>
      </c>
      <c r="H66" s="254">
        <v>55.106000000000002</v>
      </c>
      <c r="I66" s="254">
        <v>0.15</v>
      </c>
      <c r="J66" s="254">
        <v>55.106000000000002</v>
      </c>
      <c r="K66" s="254">
        <v>0.15</v>
      </c>
      <c r="L66" s="254">
        <v>54.956000000000003</v>
      </c>
      <c r="M66" s="254">
        <v>36637.333333333336</v>
      </c>
    </row>
    <row r="67" spans="1:13" ht="25.05" customHeight="1" x14ac:dyDescent="0.3">
      <c r="A67" s="253" t="s">
        <v>166</v>
      </c>
      <c r="B67" s="252" t="s">
        <v>170</v>
      </c>
      <c r="C67" s="252" t="s">
        <v>171</v>
      </c>
      <c r="D67" s="252" t="s">
        <v>169</v>
      </c>
      <c r="E67" s="252" t="s">
        <v>46</v>
      </c>
      <c r="F67" s="253" t="s">
        <v>21</v>
      </c>
      <c r="G67" s="253" t="s">
        <v>22</v>
      </c>
      <c r="H67" s="254">
        <v>0.33300000000000002</v>
      </c>
      <c r="I67" s="254">
        <v>0</v>
      </c>
      <c r="J67" s="254">
        <v>0.33300000000000002</v>
      </c>
      <c r="K67" s="254">
        <v>0</v>
      </c>
      <c r="L67" s="254">
        <v>0.33300000000000002</v>
      </c>
      <c r="M67" s="254" t="s">
        <v>67</v>
      </c>
    </row>
    <row r="68" spans="1:13" ht="25.05" customHeight="1" x14ac:dyDescent="0.3">
      <c r="A68" s="253" t="s">
        <v>166</v>
      </c>
      <c r="B68" s="252" t="s">
        <v>172</v>
      </c>
      <c r="C68" s="252">
        <v>0</v>
      </c>
      <c r="D68" s="252">
        <v>0</v>
      </c>
      <c r="E68" s="252" t="s">
        <v>20</v>
      </c>
      <c r="F68" s="253" t="s">
        <v>21</v>
      </c>
      <c r="G68" s="253" t="s">
        <v>22</v>
      </c>
      <c r="H68" s="254">
        <v>361.52</v>
      </c>
      <c r="I68" s="254">
        <v>166.53700000000001</v>
      </c>
      <c r="J68" s="254">
        <v>361.52</v>
      </c>
      <c r="K68" s="254">
        <v>166.53700000000001</v>
      </c>
      <c r="L68" s="254">
        <v>194.98299999999998</v>
      </c>
      <c r="M68" s="254">
        <v>117.08088893158876</v>
      </c>
    </row>
    <row r="69" spans="1:13" ht="25.05" customHeight="1" x14ac:dyDescent="0.3">
      <c r="A69" s="253" t="s">
        <v>166</v>
      </c>
      <c r="B69" s="252" t="s">
        <v>173</v>
      </c>
      <c r="C69" s="252">
        <v>0</v>
      </c>
      <c r="D69" s="252">
        <v>0</v>
      </c>
      <c r="E69" s="252" t="s">
        <v>20</v>
      </c>
      <c r="F69" s="253" t="s">
        <v>21</v>
      </c>
      <c r="G69" s="253" t="s">
        <v>22</v>
      </c>
      <c r="H69" s="254">
        <v>74.701999999999998</v>
      </c>
      <c r="I69" s="254">
        <v>26.074999999999999</v>
      </c>
      <c r="J69" s="254">
        <v>74.701999999999998</v>
      </c>
      <c r="K69" s="254">
        <v>26.074999999999999</v>
      </c>
      <c r="L69" s="254">
        <v>48.626999999999995</v>
      </c>
      <c r="M69" s="254">
        <v>186.48897411313516</v>
      </c>
    </row>
    <row r="70" spans="1:13" ht="25.05" customHeight="1" x14ac:dyDescent="0.3">
      <c r="A70" s="253" t="s">
        <v>166</v>
      </c>
      <c r="B70" s="252" t="s">
        <v>174</v>
      </c>
      <c r="C70" s="252">
        <v>0</v>
      </c>
      <c r="D70" s="252">
        <v>0</v>
      </c>
      <c r="E70" s="252" t="s">
        <v>20</v>
      </c>
      <c r="F70" s="253" t="s">
        <v>21</v>
      </c>
      <c r="G70" s="253" t="s">
        <v>22</v>
      </c>
      <c r="H70" s="254">
        <v>31.396000000000001</v>
      </c>
      <c r="I70" s="254">
        <v>12.808999999999999</v>
      </c>
      <c r="J70" s="254">
        <v>31.396000000000001</v>
      </c>
      <c r="K70" s="254">
        <v>12.808999999999999</v>
      </c>
      <c r="L70" s="254">
        <v>18.587000000000003</v>
      </c>
      <c r="M70" s="254">
        <v>145.10890779920371</v>
      </c>
    </row>
    <row r="71" spans="1:13" ht="25.05" customHeight="1" x14ac:dyDescent="0.3">
      <c r="A71" s="253" t="s">
        <v>166</v>
      </c>
      <c r="B71" s="252" t="s">
        <v>175</v>
      </c>
      <c r="C71" s="252">
        <v>0</v>
      </c>
      <c r="D71" s="252">
        <v>0</v>
      </c>
      <c r="E71" s="252" t="s">
        <v>20</v>
      </c>
      <c r="F71" s="253" t="s">
        <v>21</v>
      </c>
      <c r="G71" s="253" t="s">
        <v>22</v>
      </c>
      <c r="H71" s="254">
        <v>22.207999999999998</v>
      </c>
      <c r="I71" s="254">
        <v>2.3149999999999999</v>
      </c>
      <c r="J71" s="254">
        <v>22.207999999999998</v>
      </c>
      <c r="K71" s="254">
        <v>2.3149999999999999</v>
      </c>
      <c r="L71" s="254">
        <v>19.892999999999997</v>
      </c>
      <c r="M71" s="254">
        <v>859.30885529157661</v>
      </c>
    </row>
    <row r="72" spans="1:13" ht="25.05" customHeight="1" x14ac:dyDescent="0.3">
      <c r="A72" s="253" t="s">
        <v>166</v>
      </c>
      <c r="B72" s="252" t="s">
        <v>176</v>
      </c>
      <c r="C72" s="252">
        <v>0</v>
      </c>
      <c r="D72" s="252">
        <v>0</v>
      </c>
      <c r="E72" s="252" t="s">
        <v>20</v>
      </c>
      <c r="F72" s="253" t="s">
        <v>21</v>
      </c>
      <c r="G72" s="253" t="s">
        <v>22</v>
      </c>
      <c r="H72" s="254">
        <v>0.995</v>
      </c>
      <c r="I72" s="254">
        <v>10.976000000000001</v>
      </c>
      <c r="J72" s="254">
        <v>0.995</v>
      </c>
      <c r="K72" s="254">
        <v>10.976000000000001</v>
      </c>
      <c r="L72" s="254">
        <v>-9.9810000000000016</v>
      </c>
      <c r="M72" s="254">
        <v>-90.934766763848401</v>
      </c>
    </row>
    <row r="73" spans="1:13" ht="25.05" customHeight="1" x14ac:dyDescent="0.3">
      <c r="A73" s="253" t="s">
        <v>166</v>
      </c>
      <c r="B73" s="252" t="s">
        <v>177</v>
      </c>
      <c r="C73" s="252">
        <v>0</v>
      </c>
      <c r="D73" s="252">
        <v>0</v>
      </c>
      <c r="E73" s="252" t="s">
        <v>20</v>
      </c>
      <c r="F73" s="253" t="s">
        <v>21</v>
      </c>
      <c r="G73" s="253" t="s">
        <v>22</v>
      </c>
      <c r="H73" s="254">
        <v>2.6619999999999999</v>
      </c>
      <c r="I73" s="254">
        <v>1.038</v>
      </c>
      <c r="J73" s="254">
        <v>2.6619999999999999</v>
      </c>
      <c r="K73" s="254">
        <v>1.038</v>
      </c>
      <c r="L73" s="254">
        <v>1.6239999999999999</v>
      </c>
      <c r="M73" s="254">
        <v>156.45472061657031</v>
      </c>
    </row>
    <row r="74" spans="1:13" ht="25.05" customHeight="1" x14ac:dyDescent="0.3">
      <c r="A74" s="253" t="s">
        <v>166</v>
      </c>
      <c r="B74" s="252" t="s">
        <v>178</v>
      </c>
      <c r="C74" s="252">
        <v>0</v>
      </c>
      <c r="D74" s="252">
        <v>0</v>
      </c>
      <c r="E74" s="252" t="s">
        <v>20</v>
      </c>
      <c r="F74" s="253" t="s">
        <v>21</v>
      </c>
      <c r="G74" s="253" t="s">
        <v>22</v>
      </c>
      <c r="H74" s="254">
        <v>131.333</v>
      </c>
      <c r="I74" s="254">
        <v>53.213000000000001</v>
      </c>
      <c r="J74" s="254">
        <v>131.333</v>
      </c>
      <c r="K74" s="254">
        <v>53.213000000000001</v>
      </c>
      <c r="L74" s="254">
        <v>78.12</v>
      </c>
      <c r="M74" s="254">
        <v>146.80623155995715</v>
      </c>
    </row>
    <row r="75" spans="1:13" ht="25.05" customHeight="1" x14ac:dyDescent="0.3">
      <c r="A75" s="267" t="s">
        <v>166</v>
      </c>
      <c r="B75" s="268" t="s">
        <v>101</v>
      </c>
      <c r="C75" s="268">
        <v>0</v>
      </c>
      <c r="D75" s="268">
        <v>0</v>
      </c>
      <c r="E75" s="268" t="s">
        <v>20</v>
      </c>
      <c r="F75" s="267" t="s">
        <v>21</v>
      </c>
      <c r="G75" s="267" t="s">
        <v>22</v>
      </c>
      <c r="H75" s="269">
        <v>492.85300000000001</v>
      </c>
      <c r="I75" s="269">
        <v>219.75</v>
      </c>
      <c r="J75" s="269">
        <v>492.85300000000001</v>
      </c>
      <c r="K75" s="269">
        <v>219.75</v>
      </c>
      <c r="L75" s="269">
        <v>273.10300000000001</v>
      </c>
      <c r="M75" s="269">
        <v>124.27895335608648</v>
      </c>
    </row>
    <row r="76" spans="1:13" ht="25.05" customHeight="1" x14ac:dyDescent="0.3">
      <c r="A76" s="253" t="s">
        <v>123</v>
      </c>
      <c r="B76" s="252" t="s">
        <v>1700</v>
      </c>
      <c r="C76" s="252" t="s">
        <v>143</v>
      </c>
      <c r="D76" s="252" t="s">
        <v>126</v>
      </c>
      <c r="E76" s="252" t="s">
        <v>40</v>
      </c>
      <c r="F76" s="253" t="s">
        <v>21</v>
      </c>
      <c r="G76" s="253" t="s">
        <v>22</v>
      </c>
      <c r="H76" s="254">
        <v>2763</v>
      </c>
      <c r="I76" s="254">
        <v>2672</v>
      </c>
      <c r="J76" s="254">
        <v>2763</v>
      </c>
      <c r="K76" s="254">
        <v>2672</v>
      </c>
      <c r="L76" s="254">
        <v>91</v>
      </c>
      <c r="M76" s="254">
        <v>3.4056886227544907</v>
      </c>
    </row>
    <row r="77" spans="1:13" ht="25.05" customHeight="1" x14ac:dyDescent="0.3">
      <c r="A77" s="253" t="s">
        <v>123</v>
      </c>
      <c r="B77" s="252" t="s">
        <v>124</v>
      </c>
      <c r="C77" s="252" t="s">
        <v>125</v>
      </c>
      <c r="D77" s="252" t="s">
        <v>126</v>
      </c>
      <c r="E77" s="252" t="s">
        <v>40</v>
      </c>
      <c r="F77" s="253" t="s">
        <v>21</v>
      </c>
      <c r="G77" s="253" t="s">
        <v>22</v>
      </c>
      <c r="H77" s="254">
        <v>350</v>
      </c>
      <c r="I77" s="254">
        <v>189</v>
      </c>
      <c r="J77" s="254">
        <v>350</v>
      </c>
      <c r="K77" s="254">
        <v>189</v>
      </c>
      <c r="L77" s="254">
        <v>161</v>
      </c>
      <c r="M77" s="254">
        <v>85.18518518518519</v>
      </c>
    </row>
    <row r="78" spans="1:13" ht="25.05" customHeight="1" x14ac:dyDescent="0.3">
      <c r="A78" s="253" t="s">
        <v>123</v>
      </c>
      <c r="B78" s="252" t="s">
        <v>127</v>
      </c>
      <c r="C78" s="252" t="s">
        <v>128</v>
      </c>
      <c r="D78" s="252" t="s">
        <v>129</v>
      </c>
      <c r="E78" s="252" t="s">
        <v>40</v>
      </c>
      <c r="F78" s="253" t="s">
        <v>21</v>
      </c>
      <c r="G78" s="253" t="s">
        <v>22</v>
      </c>
      <c r="H78" s="254">
        <v>887</v>
      </c>
      <c r="I78" s="254">
        <v>661</v>
      </c>
      <c r="J78" s="254">
        <v>887</v>
      </c>
      <c r="K78" s="254">
        <v>661</v>
      </c>
      <c r="L78" s="254">
        <v>226</v>
      </c>
      <c r="M78" s="254">
        <v>34.190620272314675</v>
      </c>
    </row>
    <row r="79" spans="1:13" ht="25.05" customHeight="1" x14ac:dyDescent="0.3">
      <c r="A79" s="253" t="s">
        <v>123</v>
      </c>
      <c r="B79" s="252" t="s">
        <v>130</v>
      </c>
      <c r="C79" s="252" t="s">
        <v>131</v>
      </c>
      <c r="D79" s="252" t="s">
        <v>62</v>
      </c>
      <c r="E79" s="252" t="s">
        <v>40</v>
      </c>
      <c r="F79" s="253" t="s">
        <v>21</v>
      </c>
      <c r="G79" s="253" t="s">
        <v>22</v>
      </c>
      <c r="H79" s="254">
        <v>378</v>
      </c>
      <c r="I79" s="254">
        <v>306</v>
      </c>
      <c r="J79" s="254">
        <v>378</v>
      </c>
      <c r="K79" s="254">
        <v>306</v>
      </c>
      <c r="L79" s="254">
        <v>72</v>
      </c>
      <c r="M79" s="254">
        <v>23.52941176470588</v>
      </c>
    </row>
    <row r="80" spans="1:13" ht="25.05" customHeight="1" x14ac:dyDescent="0.3">
      <c r="A80" s="253" t="s">
        <v>123</v>
      </c>
      <c r="B80" s="252" t="s">
        <v>132</v>
      </c>
      <c r="C80" s="252" t="s">
        <v>133</v>
      </c>
      <c r="D80" s="252" t="s">
        <v>100</v>
      </c>
      <c r="E80" s="252" t="s">
        <v>46</v>
      </c>
      <c r="F80" s="253" t="s">
        <v>21</v>
      </c>
      <c r="G80" s="253" t="s">
        <v>22</v>
      </c>
      <c r="H80" s="254">
        <v>716</v>
      </c>
      <c r="I80" s="254">
        <v>630</v>
      </c>
      <c r="J80" s="254">
        <v>716</v>
      </c>
      <c r="K80" s="254">
        <v>630</v>
      </c>
      <c r="L80" s="254">
        <v>86</v>
      </c>
      <c r="M80" s="254">
        <v>13.65079365079365</v>
      </c>
    </row>
    <row r="81" spans="1:13" ht="25.05" customHeight="1" x14ac:dyDescent="0.3">
      <c r="A81" s="253" t="s">
        <v>123</v>
      </c>
      <c r="B81" s="252" t="s">
        <v>134</v>
      </c>
      <c r="C81" s="252" t="s">
        <v>135</v>
      </c>
      <c r="D81" s="252" t="s">
        <v>56</v>
      </c>
      <c r="E81" s="252" t="s">
        <v>46</v>
      </c>
      <c r="F81" s="253" t="s">
        <v>21</v>
      </c>
      <c r="G81" s="253" t="s">
        <v>22</v>
      </c>
      <c r="H81" s="254">
        <v>2195</v>
      </c>
      <c r="I81" s="254">
        <v>178</v>
      </c>
      <c r="J81" s="254">
        <v>2195</v>
      </c>
      <c r="K81" s="254">
        <v>178</v>
      </c>
      <c r="L81" s="254">
        <v>2017</v>
      </c>
      <c r="M81" s="254">
        <v>1133.1460674157304</v>
      </c>
    </row>
    <row r="82" spans="1:13" ht="25.05" customHeight="1" x14ac:dyDescent="0.3">
      <c r="A82" s="253" t="s">
        <v>123</v>
      </c>
      <c r="B82" s="252" t="s">
        <v>136</v>
      </c>
      <c r="C82" s="252" t="s">
        <v>137</v>
      </c>
      <c r="D82" s="252" t="s">
        <v>43</v>
      </c>
      <c r="E82" s="252" t="s">
        <v>40</v>
      </c>
      <c r="F82" s="253" t="s">
        <v>21</v>
      </c>
      <c r="G82" s="253" t="s">
        <v>22</v>
      </c>
      <c r="H82" s="254">
        <v>4996</v>
      </c>
      <c r="I82" s="254">
        <v>5226</v>
      </c>
      <c r="J82" s="254">
        <v>4996</v>
      </c>
      <c r="K82" s="254">
        <v>5226</v>
      </c>
      <c r="L82" s="254">
        <v>-230</v>
      </c>
      <c r="M82" s="254">
        <v>-4.4010715652506702</v>
      </c>
    </row>
    <row r="83" spans="1:13" ht="25.05" customHeight="1" x14ac:dyDescent="0.3">
      <c r="A83" s="253" t="s">
        <v>123</v>
      </c>
      <c r="B83" s="252" t="s">
        <v>138</v>
      </c>
      <c r="C83" s="252" t="s">
        <v>139</v>
      </c>
      <c r="D83" s="252" t="s">
        <v>43</v>
      </c>
      <c r="E83" s="252" t="s">
        <v>40</v>
      </c>
      <c r="F83" s="253" t="s">
        <v>21</v>
      </c>
      <c r="G83" s="253" t="s">
        <v>22</v>
      </c>
      <c r="H83" s="254">
        <v>331</v>
      </c>
      <c r="I83" s="254">
        <v>215</v>
      </c>
      <c r="J83" s="254">
        <v>331</v>
      </c>
      <c r="K83" s="254">
        <v>215</v>
      </c>
      <c r="L83" s="254">
        <v>116</v>
      </c>
      <c r="M83" s="254">
        <v>53.953488372093027</v>
      </c>
    </row>
    <row r="84" spans="1:13" ht="25.05" customHeight="1" x14ac:dyDescent="0.3">
      <c r="A84" s="253" t="s">
        <v>123</v>
      </c>
      <c r="B84" s="252" t="s">
        <v>140</v>
      </c>
      <c r="C84" s="252" t="s">
        <v>141</v>
      </c>
      <c r="D84" s="252" t="s">
        <v>49</v>
      </c>
      <c r="E84" s="252" t="s">
        <v>46</v>
      </c>
      <c r="F84" s="253" t="s">
        <v>21</v>
      </c>
      <c r="G84" s="253" t="s">
        <v>22</v>
      </c>
      <c r="H84" s="254">
        <v>1065</v>
      </c>
      <c r="I84" s="254">
        <v>1044</v>
      </c>
      <c r="J84" s="254">
        <v>1065</v>
      </c>
      <c r="K84" s="254">
        <v>1044</v>
      </c>
      <c r="L84" s="254">
        <v>21</v>
      </c>
      <c r="M84" s="254">
        <v>2.0114942528735633</v>
      </c>
    </row>
    <row r="85" spans="1:13" ht="25.05" customHeight="1" x14ac:dyDescent="0.3">
      <c r="A85" s="253" t="s">
        <v>123</v>
      </c>
      <c r="B85" s="252" t="s">
        <v>142</v>
      </c>
      <c r="C85" s="252" t="s">
        <v>143</v>
      </c>
      <c r="D85" s="252" t="s">
        <v>49</v>
      </c>
      <c r="E85" s="252" t="s">
        <v>40</v>
      </c>
      <c r="F85" s="253" t="s">
        <v>21</v>
      </c>
      <c r="G85" s="253" t="s">
        <v>22</v>
      </c>
      <c r="H85" s="254">
        <v>1899</v>
      </c>
      <c r="I85" s="254">
        <v>1935</v>
      </c>
      <c r="J85" s="254">
        <v>1899</v>
      </c>
      <c r="K85" s="254">
        <v>1935</v>
      </c>
      <c r="L85" s="254">
        <v>-36</v>
      </c>
      <c r="M85" s="254">
        <v>-1.8604651162790697</v>
      </c>
    </row>
    <row r="86" spans="1:13" ht="25.05" customHeight="1" x14ac:dyDescent="0.3">
      <c r="A86" s="253" t="s">
        <v>123</v>
      </c>
      <c r="B86" s="252" t="s">
        <v>144</v>
      </c>
      <c r="C86" s="252" t="s">
        <v>145</v>
      </c>
      <c r="D86" s="252" t="s">
        <v>49</v>
      </c>
      <c r="E86" s="252" t="s">
        <v>40</v>
      </c>
      <c r="F86" s="253" t="s">
        <v>21</v>
      </c>
      <c r="G86" s="253" t="s">
        <v>22</v>
      </c>
      <c r="H86" s="254">
        <v>811</v>
      </c>
      <c r="I86" s="254">
        <v>744</v>
      </c>
      <c r="J86" s="254">
        <v>811</v>
      </c>
      <c r="K86" s="254">
        <v>744</v>
      </c>
      <c r="L86" s="254">
        <v>67</v>
      </c>
      <c r="M86" s="254">
        <v>9.0053763440860219</v>
      </c>
    </row>
    <row r="87" spans="1:13" ht="25.05" customHeight="1" x14ac:dyDescent="0.3">
      <c r="A87" s="253" t="s">
        <v>123</v>
      </c>
      <c r="B87" s="252" t="s">
        <v>146</v>
      </c>
      <c r="C87" s="252" t="s">
        <v>147</v>
      </c>
      <c r="D87" s="252" t="s">
        <v>43</v>
      </c>
      <c r="E87" s="252" t="s">
        <v>40</v>
      </c>
      <c r="F87" s="253" t="s">
        <v>21</v>
      </c>
      <c r="G87" s="253" t="s">
        <v>22</v>
      </c>
      <c r="H87" s="254">
        <v>850</v>
      </c>
      <c r="I87" s="254">
        <v>795</v>
      </c>
      <c r="J87" s="254">
        <v>850</v>
      </c>
      <c r="K87" s="254">
        <v>795</v>
      </c>
      <c r="L87" s="254">
        <v>55</v>
      </c>
      <c r="M87" s="254">
        <v>6.9182389937106921</v>
      </c>
    </row>
    <row r="88" spans="1:13" ht="25.05" customHeight="1" x14ac:dyDescent="0.3">
      <c r="A88" s="253" t="s">
        <v>123</v>
      </c>
      <c r="B88" s="252" t="s">
        <v>148</v>
      </c>
      <c r="C88" s="252" t="s">
        <v>149</v>
      </c>
      <c r="D88" s="252" t="s">
        <v>49</v>
      </c>
      <c r="E88" s="252" t="s">
        <v>40</v>
      </c>
      <c r="F88" s="253" t="s">
        <v>21</v>
      </c>
      <c r="G88" s="253" t="s">
        <v>22</v>
      </c>
      <c r="H88" s="254">
        <v>379</v>
      </c>
      <c r="I88" s="254">
        <v>312</v>
      </c>
      <c r="J88" s="254">
        <v>379</v>
      </c>
      <c r="K88" s="254">
        <v>312</v>
      </c>
      <c r="L88" s="254">
        <v>67</v>
      </c>
      <c r="M88" s="254">
        <v>21.474358974358974</v>
      </c>
    </row>
    <row r="89" spans="1:13" ht="25.05" customHeight="1" x14ac:dyDescent="0.3">
      <c r="A89" s="253" t="s">
        <v>123</v>
      </c>
      <c r="B89" s="252" t="s">
        <v>150</v>
      </c>
      <c r="C89" s="252" t="s">
        <v>151</v>
      </c>
      <c r="D89" s="252" t="s">
        <v>49</v>
      </c>
      <c r="E89" s="252" t="s">
        <v>40</v>
      </c>
      <c r="F89" s="253" t="s">
        <v>21</v>
      </c>
      <c r="G89" s="253" t="s">
        <v>22</v>
      </c>
      <c r="H89" s="254">
        <v>798</v>
      </c>
      <c r="I89" s="254">
        <v>127</v>
      </c>
      <c r="J89" s="254">
        <v>798</v>
      </c>
      <c r="K89" s="254">
        <v>127</v>
      </c>
      <c r="L89" s="254">
        <v>671</v>
      </c>
      <c r="M89" s="254">
        <v>528.34645669291342</v>
      </c>
    </row>
    <row r="90" spans="1:13" ht="25.05" customHeight="1" x14ac:dyDescent="0.3">
      <c r="A90" s="253" t="s">
        <v>123</v>
      </c>
      <c r="B90" s="252" t="s">
        <v>152</v>
      </c>
      <c r="C90" s="252" t="s">
        <v>153</v>
      </c>
      <c r="D90" s="252" t="s">
        <v>49</v>
      </c>
      <c r="E90" s="252" t="s">
        <v>40</v>
      </c>
      <c r="F90" s="253" t="s">
        <v>21</v>
      </c>
      <c r="G90" s="253" t="s">
        <v>22</v>
      </c>
      <c r="H90" s="254">
        <v>567</v>
      </c>
      <c r="I90" s="254">
        <v>226</v>
      </c>
      <c r="J90" s="254">
        <v>567</v>
      </c>
      <c r="K90" s="254">
        <v>226</v>
      </c>
      <c r="L90" s="254">
        <v>341</v>
      </c>
      <c r="M90" s="254">
        <v>150.88495575221239</v>
      </c>
    </row>
    <row r="91" spans="1:13" ht="25.05" customHeight="1" x14ac:dyDescent="0.3">
      <c r="A91" s="253" t="s">
        <v>123</v>
      </c>
      <c r="B91" s="252" t="s">
        <v>154</v>
      </c>
      <c r="C91" s="252" t="s">
        <v>155</v>
      </c>
      <c r="D91" s="252" t="s">
        <v>113</v>
      </c>
      <c r="E91" s="252" t="s">
        <v>40</v>
      </c>
      <c r="F91" s="253" t="s">
        <v>21</v>
      </c>
      <c r="G91" s="253" t="s">
        <v>22</v>
      </c>
      <c r="H91" s="254">
        <v>2293</v>
      </c>
      <c r="I91" s="254">
        <v>3221</v>
      </c>
      <c r="J91" s="254">
        <v>2293</v>
      </c>
      <c r="K91" s="254">
        <v>3221</v>
      </c>
      <c r="L91" s="254">
        <v>-928</v>
      </c>
      <c r="M91" s="254">
        <v>-28.81092828314188</v>
      </c>
    </row>
    <row r="92" spans="1:13" ht="25.05" customHeight="1" x14ac:dyDescent="0.3">
      <c r="A92" s="253" t="s">
        <v>123</v>
      </c>
      <c r="B92" s="252" t="s">
        <v>156</v>
      </c>
      <c r="C92" s="252" t="s">
        <v>157</v>
      </c>
      <c r="D92" s="252" t="s">
        <v>113</v>
      </c>
      <c r="E92" s="252" t="s">
        <v>40</v>
      </c>
      <c r="F92" s="253" t="s">
        <v>21</v>
      </c>
      <c r="G92" s="253" t="s">
        <v>22</v>
      </c>
      <c r="H92" s="254">
        <v>225</v>
      </c>
      <c r="I92" s="254">
        <v>264</v>
      </c>
      <c r="J92" s="254">
        <v>225</v>
      </c>
      <c r="K92" s="254">
        <v>264</v>
      </c>
      <c r="L92" s="254">
        <v>-39</v>
      </c>
      <c r="M92" s="254">
        <v>-14.772727272727273</v>
      </c>
    </row>
    <row r="93" spans="1:13" ht="25.05" customHeight="1" x14ac:dyDescent="0.3">
      <c r="A93" s="253" t="s">
        <v>123</v>
      </c>
      <c r="B93" s="252" t="s">
        <v>158</v>
      </c>
      <c r="C93" s="252" t="s">
        <v>159</v>
      </c>
      <c r="D93" s="252" t="s">
        <v>113</v>
      </c>
      <c r="E93" s="252" t="s">
        <v>40</v>
      </c>
      <c r="F93" s="253" t="s">
        <v>21</v>
      </c>
      <c r="G93" s="253" t="s">
        <v>22</v>
      </c>
      <c r="H93" s="254">
        <v>598</v>
      </c>
      <c r="I93" s="254">
        <v>867</v>
      </c>
      <c r="J93" s="254">
        <v>598</v>
      </c>
      <c r="K93" s="254">
        <v>867</v>
      </c>
      <c r="L93" s="254">
        <v>-269</v>
      </c>
      <c r="M93" s="254">
        <v>-31.02652825836217</v>
      </c>
    </row>
    <row r="94" spans="1:13" ht="25.05" customHeight="1" x14ac:dyDescent="0.3">
      <c r="A94" s="253" t="s">
        <v>123</v>
      </c>
      <c r="B94" s="252" t="s">
        <v>160</v>
      </c>
      <c r="C94" s="252" t="s">
        <v>161</v>
      </c>
      <c r="D94" s="252" t="s">
        <v>113</v>
      </c>
      <c r="E94" s="252" t="s">
        <v>40</v>
      </c>
      <c r="F94" s="253" t="s">
        <v>21</v>
      </c>
      <c r="G94" s="253" t="s">
        <v>22</v>
      </c>
      <c r="H94" s="254">
        <v>1568</v>
      </c>
      <c r="I94" s="254">
        <v>1729</v>
      </c>
      <c r="J94" s="254">
        <v>1568</v>
      </c>
      <c r="K94" s="254">
        <v>1729</v>
      </c>
      <c r="L94" s="254">
        <v>-161</v>
      </c>
      <c r="M94" s="254">
        <v>-9.3117408906882595</v>
      </c>
    </row>
    <row r="95" spans="1:13" ht="25.05" customHeight="1" x14ac:dyDescent="0.3">
      <c r="A95" s="253" t="s">
        <v>123</v>
      </c>
      <c r="B95" s="252" t="s">
        <v>162</v>
      </c>
      <c r="C95" s="252" t="s">
        <v>163</v>
      </c>
      <c r="D95" s="252" t="s">
        <v>100</v>
      </c>
      <c r="E95" s="252" t="s">
        <v>46</v>
      </c>
      <c r="F95" s="253" t="s">
        <v>21</v>
      </c>
      <c r="G95" s="253" t="s">
        <v>22</v>
      </c>
      <c r="H95" s="254">
        <v>288</v>
      </c>
      <c r="I95" s="254">
        <v>551</v>
      </c>
      <c r="J95" s="254">
        <v>288</v>
      </c>
      <c r="K95" s="254">
        <v>551</v>
      </c>
      <c r="L95" s="254">
        <v>-263</v>
      </c>
      <c r="M95" s="254">
        <v>-47.731397459165152</v>
      </c>
    </row>
    <row r="96" spans="1:13" ht="25.05" customHeight="1" x14ac:dyDescent="0.3">
      <c r="A96" s="253" t="s">
        <v>123</v>
      </c>
      <c r="B96" s="252" t="s">
        <v>23</v>
      </c>
      <c r="C96" s="252">
        <v>0</v>
      </c>
      <c r="D96" s="252">
        <v>0</v>
      </c>
      <c r="E96" s="252" t="s">
        <v>20</v>
      </c>
      <c r="F96" s="253" t="s">
        <v>21</v>
      </c>
      <c r="G96" s="253" t="s">
        <v>22</v>
      </c>
      <c r="H96" s="254">
        <v>283</v>
      </c>
      <c r="I96" s="254">
        <v>312</v>
      </c>
      <c r="J96" s="254">
        <v>283</v>
      </c>
      <c r="K96" s="254">
        <v>312</v>
      </c>
      <c r="L96" s="254">
        <v>-29</v>
      </c>
      <c r="M96" s="254">
        <v>-9.2948717948717956</v>
      </c>
    </row>
    <row r="97" spans="1:13" ht="25.05" customHeight="1" x14ac:dyDescent="0.3">
      <c r="A97" s="253" t="s">
        <v>123</v>
      </c>
      <c r="B97" s="252" t="s">
        <v>164</v>
      </c>
      <c r="C97" s="252">
        <v>0</v>
      </c>
      <c r="D97" s="252">
        <v>0</v>
      </c>
      <c r="E97" s="252" t="s">
        <v>20</v>
      </c>
      <c r="F97" s="253" t="s">
        <v>21</v>
      </c>
      <c r="G97" s="253" t="s">
        <v>22</v>
      </c>
      <c r="H97" s="254">
        <v>24240</v>
      </c>
      <c r="I97" s="254">
        <v>22204</v>
      </c>
      <c r="J97" s="254">
        <v>24240</v>
      </c>
      <c r="K97" s="254">
        <v>22204</v>
      </c>
      <c r="L97" s="254">
        <v>2036</v>
      </c>
      <c r="M97" s="254">
        <v>9.1695190055845792</v>
      </c>
    </row>
    <row r="98" spans="1:13" ht="25.05" customHeight="1" x14ac:dyDescent="0.3">
      <c r="A98" s="253" t="s">
        <v>123</v>
      </c>
      <c r="B98" s="252" t="s">
        <v>165</v>
      </c>
      <c r="C98" s="252">
        <v>0</v>
      </c>
      <c r="D98" s="252">
        <v>0</v>
      </c>
      <c r="E98" s="252" t="s">
        <v>20</v>
      </c>
      <c r="F98" s="253" t="s">
        <v>21</v>
      </c>
      <c r="G98" s="253" t="s">
        <v>22</v>
      </c>
      <c r="H98" s="254">
        <v>1184</v>
      </c>
      <c r="I98" s="254">
        <v>1158</v>
      </c>
      <c r="J98" s="254">
        <v>1184</v>
      </c>
      <c r="K98" s="254">
        <v>1158</v>
      </c>
      <c r="L98" s="254">
        <v>26</v>
      </c>
      <c r="M98" s="254">
        <v>2.2452504317789295</v>
      </c>
    </row>
    <row r="99" spans="1:13" ht="25.05" customHeight="1" x14ac:dyDescent="0.3">
      <c r="A99" s="267" t="s">
        <v>123</v>
      </c>
      <c r="B99" s="268" t="s">
        <v>101</v>
      </c>
      <c r="C99" s="268">
        <v>0</v>
      </c>
      <c r="D99" s="268">
        <v>0</v>
      </c>
      <c r="E99" s="268" t="s">
        <v>20</v>
      </c>
      <c r="F99" s="267" t="s">
        <v>21</v>
      </c>
      <c r="G99" s="267" t="s">
        <v>22</v>
      </c>
      <c r="H99" s="269">
        <v>25424</v>
      </c>
      <c r="I99" s="269">
        <v>23362</v>
      </c>
      <c r="J99" s="269">
        <v>25424</v>
      </c>
      <c r="K99" s="269">
        <v>23362</v>
      </c>
      <c r="L99" s="269">
        <v>2062</v>
      </c>
      <c r="M99" s="269">
        <v>8.8262991182261796</v>
      </c>
    </row>
    <row r="100" spans="1:13" ht="25.05" customHeight="1" x14ac:dyDescent="0.3">
      <c r="A100" s="253" t="s">
        <v>249</v>
      </c>
      <c r="B100" s="252" t="s">
        <v>1261</v>
      </c>
      <c r="C100" s="252" t="s">
        <v>1262</v>
      </c>
      <c r="D100" s="252" t="s">
        <v>49</v>
      </c>
      <c r="E100" s="252" t="s">
        <v>46</v>
      </c>
      <c r="F100" s="253" t="s">
        <v>250</v>
      </c>
      <c r="G100" s="253" t="s">
        <v>251</v>
      </c>
      <c r="H100" s="254">
        <v>444.79999999999995</v>
      </c>
      <c r="I100" s="254">
        <v>377.59999999999997</v>
      </c>
      <c r="J100" s="254">
        <v>4075.7023999999992</v>
      </c>
      <c r="K100" s="254">
        <v>3459.9487999999992</v>
      </c>
      <c r="L100" s="254">
        <v>615.75360000000001</v>
      </c>
      <c r="M100" s="254">
        <v>17.79661016949153</v>
      </c>
    </row>
    <row r="101" spans="1:13" ht="25.05" customHeight="1" x14ac:dyDescent="0.3">
      <c r="A101" s="253" t="s">
        <v>249</v>
      </c>
      <c r="B101" s="252" t="s">
        <v>252</v>
      </c>
      <c r="C101" s="252" t="s">
        <v>253</v>
      </c>
      <c r="D101" s="252" t="s">
        <v>49</v>
      </c>
      <c r="E101" s="252" t="s">
        <v>46</v>
      </c>
      <c r="F101" s="253" t="s">
        <v>250</v>
      </c>
      <c r="G101" s="253" t="s">
        <v>251</v>
      </c>
      <c r="H101" s="254">
        <v>22.1</v>
      </c>
      <c r="I101" s="254">
        <v>11.700000000000001</v>
      </c>
      <c r="J101" s="254">
        <v>202.50229999999999</v>
      </c>
      <c r="K101" s="254">
        <v>107.20710000000001</v>
      </c>
      <c r="L101" s="254">
        <v>95.29519999999998</v>
      </c>
      <c r="M101" s="254">
        <v>88.888888888888857</v>
      </c>
    </row>
    <row r="102" spans="1:13" ht="25.05" customHeight="1" x14ac:dyDescent="0.3">
      <c r="A102" s="253" t="s">
        <v>249</v>
      </c>
      <c r="B102" s="252" t="s">
        <v>254</v>
      </c>
      <c r="C102" s="252" t="s">
        <v>255</v>
      </c>
      <c r="D102" s="252" t="s">
        <v>49</v>
      </c>
      <c r="E102" s="252" t="s">
        <v>40</v>
      </c>
      <c r="F102" s="253" t="s">
        <v>250</v>
      </c>
      <c r="G102" s="253" t="s">
        <v>251</v>
      </c>
      <c r="H102" s="254">
        <v>11.200000000000001</v>
      </c>
      <c r="I102" s="254">
        <v>0</v>
      </c>
      <c r="J102" s="254">
        <v>102.62560000000001</v>
      </c>
      <c r="K102" s="254">
        <v>0</v>
      </c>
      <c r="L102" s="254">
        <v>102.62560000000001</v>
      </c>
      <c r="M102" s="254">
        <v>100</v>
      </c>
    </row>
    <row r="103" spans="1:13" ht="25.05" customHeight="1" x14ac:dyDescent="0.3">
      <c r="A103" s="253" t="s">
        <v>249</v>
      </c>
      <c r="B103" s="252" t="s">
        <v>256</v>
      </c>
      <c r="C103" s="252" t="s">
        <v>257</v>
      </c>
      <c r="D103" s="252" t="s">
        <v>258</v>
      </c>
      <c r="E103" s="252" t="s">
        <v>46</v>
      </c>
      <c r="F103" s="253" t="s">
        <v>250</v>
      </c>
      <c r="G103" s="253" t="s">
        <v>251</v>
      </c>
      <c r="H103" s="254">
        <v>162.80000000000001</v>
      </c>
      <c r="I103" s="254">
        <v>158.30000000000001</v>
      </c>
      <c r="J103" s="254">
        <v>1491.7363999999998</v>
      </c>
      <c r="K103" s="254">
        <v>1450.5029</v>
      </c>
      <c r="L103" s="254">
        <v>41.233499999999822</v>
      </c>
      <c r="M103" s="254">
        <v>2.8427037271004303</v>
      </c>
    </row>
    <row r="104" spans="1:13" ht="25.05" customHeight="1" x14ac:dyDescent="0.3">
      <c r="A104" s="253" t="s">
        <v>249</v>
      </c>
      <c r="B104" s="252" t="s">
        <v>259</v>
      </c>
      <c r="C104" s="252" t="s">
        <v>260</v>
      </c>
      <c r="D104" s="252" t="s">
        <v>258</v>
      </c>
      <c r="E104" s="252" t="s">
        <v>46</v>
      </c>
      <c r="F104" s="253" t="s">
        <v>250</v>
      </c>
      <c r="G104" s="253" t="s">
        <v>251</v>
      </c>
      <c r="H104" s="254">
        <v>33.299999999999997</v>
      </c>
      <c r="I104" s="254">
        <v>56.800000000000004</v>
      </c>
      <c r="J104" s="254">
        <v>305.12789999999995</v>
      </c>
      <c r="K104" s="254">
        <v>520.45839999999998</v>
      </c>
      <c r="L104" s="254">
        <v>-215.33050000000003</v>
      </c>
      <c r="M104" s="254">
        <v>-41.373239436619727</v>
      </c>
    </row>
    <row r="105" spans="1:13" ht="25.05" customHeight="1" x14ac:dyDescent="0.3">
      <c r="A105" s="253" t="s">
        <v>249</v>
      </c>
      <c r="B105" s="252" t="s">
        <v>261</v>
      </c>
      <c r="C105" s="252" t="s">
        <v>262</v>
      </c>
      <c r="D105" s="252" t="s">
        <v>43</v>
      </c>
      <c r="E105" s="252" t="s">
        <v>46</v>
      </c>
      <c r="F105" s="253" t="s">
        <v>250</v>
      </c>
      <c r="G105" s="253" t="s">
        <v>251</v>
      </c>
      <c r="H105" s="254">
        <v>185</v>
      </c>
      <c r="I105" s="254">
        <v>191.89999999999998</v>
      </c>
      <c r="J105" s="254">
        <v>1695.155</v>
      </c>
      <c r="K105" s="254">
        <v>1758.3796999999995</v>
      </c>
      <c r="L105" s="254">
        <v>-63.22469999999953</v>
      </c>
      <c r="M105" s="254">
        <v>-3.5956227201667281</v>
      </c>
    </row>
    <row r="106" spans="1:13" ht="25.05" customHeight="1" x14ac:dyDescent="0.3">
      <c r="A106" s="253" t="s">
        <v>249</v>
      </c>
      <c r="B106" s="252" t="s">
        <v>263</v>
      </c>
      <c r="C106" s="252" t="s">
        <v>264</v>
      </c>
      <c r="D106" s="252" t="s">
        <v>258</v>
      </c>
      <c r="E106" s="252" t="s">
        <v>46</v>
      </c>
      <c r="F106" s="253" t="s">
        <v>250</v>
      </c>
      <c r="G106" s="253" t="s">
        <v>251</v>
      </c>
      <c r="H106" s="254">
        <v>38.299999999999997</v>
      </c>
      <c r="I106" s="254">
        <v>44.8</v>
      </c>
      <c r="J106" s="254">
        <v>350.94289999999995</v>
      </c>
      <c r="K106" s="254">
        <v>410.50239999999997</v>
      </c>
      <c r="L106" s="254">
        <v>-59.559500000000014</v>
      </c>
      <c r="M106" s="254">
        <v>-14.508928571428575</v>
      </c>
    </row>
    <row r="107" spans="1:13" ht="25.05" customHeight="1" x14ac:dyDescent="0.3">
      <c r="A107" s="253" t="s">
        <v>249</v>
      </c>
      <c r="B107" s="252" t="s">
        <v>265</v>
      </c>
      <c r="C107" s="252" t="s">
        <v>266</v>
      </c>
      <c r="D107" s="252" t="s">
        <v>89</v>
      </c>
      <c r="E107" s="252" t="s">
        <v>46</v>
      </c>
      <c r="F107" s="253" t="s">
        <v>250</v>
      </c>
      <c r="G107" s="253" t="s">
        <v>251</v>
      </c>
      <c r="H107" s="254">
        <v>28</v>
      </c>
      <c r="I107" s="254">
        <v>35.1</v>
      </c>
      <c r="J107" s="254">
        <v>256.56399999999996</v>
      </c>
      <c r="K107" s="254">
        <v>321.62129999999996</v>
      </c>
      <c r="L107" s="254">
        <v>-65.057299999999998</v>
      </c>
      <c r="M107" s="254">
        <v>-20.227920227920229</v>
      </c>
    </row>
    <row r="108" spans="1:13" ht="25.05" customHeight="1" x14ac:dyDescent="0.3">
      <c r="A108" s="253" t="s">
        <v>249</v>
      </c>
      <c r="B108" s="252" t="s">
        <v>267</v>
      </c>
      <c r="C108" s="252" t="s">
        <v>268</v>
      </c>
      <c r="D108" s="252" t="s">
        <v>49</v>
      </c>
      <c r="E108" s="252" t="s">
        <v>46</v>
      </c>
      <c r="F108" s="253" t="s">
        <v>250</v>
      </c>
      <c r="G108" s="253" t="s">
        <v>251</v>
      </c>
      <c r="H108" s="254">
        <v>12.8</v>
      </c>
      <c r="I108" s="254">
        <v>14</v>
      </c>
      <c r="J108" s="254">
        <v>117.28639999999999</v>
      </c>
      <c r="K108" s="254">
        <v>128.28199999999998</v>
      </c>
      <c r="L108" s="254">
        <v>-10.995599999999996</v>
      </c>
      <c r="M108" s="254">
        <v>-8.5714285714285694</v>
      </c>
    </row>
    <row r="109" spans="1:13" ht="25.05" customHeight="1" x14ac:dyDescent="0.3">
      <c r="A109" s="253" t="s">
        <v>249</v>
      </c>
      <c r="B109" s="252" t="s">
        <v>269</v>
      </c>
      <c r="C109" s="252" t="s">
        <v>270</v>
      </c>
      <c r="D109" s="252" t="s">
        <v>201</v>
      </c>
      <c r="E109" s="252" t="s">
        <v>46</v>
      </c>
      <c r="F109" s="253" t="s">
        <v>250</v>
      </c>
      <c r="G109" s="253" t="s">
        <v>251</v>
      </c>
      <c r="H109" s="254">
        <v>27.1</v>
      </c>
      <c r="I109" s="254">
        <v>22.799999999999997</v>
      </c>
      <c r="J109" s="254">
        <v>248.31729999999999</v>
      </c>
      <c r="K109" s="254">
        <v>208.91639999999995</v>
      </c>
      <c r="L109" s="254">
        <v>39.400900000000036</v>
      </c>
      <c r="M109" s="254">
        <v>18.859649122807038</v>
      </c>
    </row>
    <row r="110" spans="1:13" ht="25.05" customHeight="1" x14ac:dyDescent="0.3">
      <c r="A110" s="253" t="s">
        <v>249</v>
      </c>
      <c r="B110" s="252" t="s">
        <v>127</v>
      </c>
      <c r="C110" s="252" t="s">
        <v>128</v>
      </c>
      <c r="D110" s="252" t="s">
        <v>129</v>
      </c>
      <c r="E110" s="252" t="s">
        <v>40</v>
      </c>
      <c r="F110" s="253" t="s">
        <v>250</v>
      </c>
      <c r="G110" s="253" t="s">
        <v>251</v>
      </c>
      <c r="H110" s="254">
        <v>4.7</v>
      </c>
      <c r="I110" s="254">
        <v>3</v>
      </c>
      <c r="J110" s="254">
        <v>43.066099999999999</v>
      </c>
      <c r="K110" s="254">
        <v>27.488999999999997</v>
      </c>
      <c r="L110" s="254">
        <v>15.577100000000002</v>
      </c>
      <c r="M110" s="254">
        <v>56.666666666666679</v>
      </c>
    </row>
    <row r="111" spans="1:13" ht="25.05" customHeight="1" x14ac:dyDescent="0.3">
      <c r="A111" s="253" t="s">
        <v>249</v>
      </c>
      <c r="B111" s="252" t="s">
        <v>271</v>
      </c>
      <c r="C111" s="252" t="s">
        <v>96</v>
      </c>
      <c r="D111" s="252" t="s">
        <v>97</v>
      </c>
      <c r="E111" s="252" t="s">
        <v>46</v>
      </c>
      <c r="F111" s="253" t="s">
        <v>250</v>
      </c>
      <c r="G111" s="253" t="s">
        <v>251</v>
      </c>
      <c r="H111" s="254">
        <v>6.2</v>
      </c>
      <c r="I111" s="254">
        <v>5.4</v>
      </c>
      <c r="J111" s="254">
        <v>56.810599999999994</v>
      </c>
      <c r="K111" s="254">
        <v>49.480199999999996</v>
      </c>
      <c r="L111" s="254">
        <v>7.3303999999999974</v>
      </c>
      <c r="M111" s="254">
        <v>14.814814814814811</v>
      </c>
    </row>
    <row r="112" spans="1:13" ht="25.05" customHeight="1" x14ac:dyDescent="0.3">
      <c r="A112" s="253" t="s">
        <v>249</v>
      </c>
      <c r="B112" s="252" t="s">
        <v>148</v>
      </c>
      <c r="C112" s="252" t="s">
        <v>149</v>
      </c>
      <c r="D112" s="252" t="s">
        <v>49</v>
      </c>
      <c r="E112" s="252" t="s">
        <v>40</v>
      </c>
      <c r="F112" s="253" t="s">
        <v>250</v>
      </c>
      <c r="G112" s="253" t="s">
        <v>251</v>
      </c>
      <c r="H112" s="254">
        <v>4.4000000000000004</v>
      </c>
      <c r="I112" s="254">
        <v>4.2</v>
      </c>
      <c r="J112" s="254">
        <v>40.3172</v>
      </c>
      <c r="K112" s="254">
        <v>38.4846</v>
      </c>
      <c r="L112" s="254">
        <v>1.8325999999999993</v>
      </c>
      <c r="M112" s="254">
        <v>4.7619047619047601</v>
      </c>
    </row>
    <row r="113" spans="1:13" ht="25.05" customHeight="1" x14ac:dyDescent="0.3">
      <c r="A113" s="253" t="s">
        <v>249</v>
      </c>
      <c r="B113" s="252" t="s">
        <v>124</v>
      </c>
      <c r="C113" s="252" t="s">
        <v>125</v>
      </c>
      <c r="D113" s="252" t="s">
        <v>126</v>
      </c>
      <c r="E113" s="252" t="s">
        <v>40</v>
      </c>
      <c r="F113" s="253" t="s">
        <v>250</v>
      </c>
      <c r="G113" s="253" t="s">
        <v>251</v>
      </c>
      <c r="H113" s="254">
        <v>26.2</v>
      </c>
      <c r="I113" s="254">
        <v>17.100000000000001</v>
      </c>
      <c r="J113" s="254">
        <v>240.07059999999998</v>
      </c>
      <c r="K113" s="254">
        <v>156.68729999999999</v>
      </c>
      <c r="L113" s="254">
        <v>83.383299999999991</v>
      </c>
      <c r="M113" s="254">
        <v>53.21637426900584</v>
      </c>
    </row>
    <row r="114" spans="1:13" ht="25.05" customHeight="1" x14ac:dyDescent="0.3">
      <c r="A114" s="253" t="s">
        <v>249</v>
      </c>
      <c r="B114" s="252" t="s">
        <v>272</v>
      </c>
      <c r="C114" s="252" t="s">
        <v>273</v>
      </c>
      <c r="D114" s="252" t="s">
        <v>89</v>
      </c>
      <c r="E114" s="252" t="s">
        <v>46</v>
      </c>
      <c r="F114" s="253" t="s">
        <v>250</v>
      </c>
      <c r="G114" s="253" t="s">
        <v>251</v>
      </c>
      <c r="H114" s="254">
        <v>27.2</v>
      </c>
      <c r="I114" s="254">
        <v>49.5</v>
      </c>
      <c r="J114" s="254">
        <v>249.23359999999997</v>
      </c>
      <c r="K114" s="254">
        <v>453.56849999999997</v>
      </c>
      <c r="L114" s="254">
        <v>-204.3349</v>
      </c>
      <c r="M114" s="254">
        <v>-45.050505050505052</v>
      </c>
    </row>
    <row r="115" spans="1:13" ht="25.05" customHeight="1" x14ac:dyDescent="0.3">
      <c r="A115" s="253" t="s">
        <v>249</v>
      </c>
      <c r="B115" s="252" t="s">
        <v>274</v>
      </c>
      <c r="C115" s="252" t="s">
        <v>220</v>
      </c>
      <c r="D115" s="252" t="s">
        <v>221</v>
      </c>
      <c r="E115" s="252" t="s">
        <v>46</v>
      </c>
      <c r="F115" s="253" t="s">
        <v>250</v>
      </c>
      <c r="G115" s="253" t="s">
        <v>251</v>
      </c>
      <c r="H115" s="254">
        <v>0</v>
      </c>
      <c r="I115" s="254">
        <v>23.2</v>
      </c>
      <c r="J115" s="254">
        <v>0</v>
      </c>
      <c r="K115" s="254">
        <v>212.58159999999998</v>
      </c>
      <c r="L115" s="254">
        <v>-212.58159999999998</v>
      </c>
      <c r="M115" s="254">
        <v>-100</v>
      </c>
    </row>
    <row r="116" spans="1:13" ht="25.05" customHeight="1" x14ac:dyDescent="0.3">
      <c r="A116" s="253" t="s">
        <v>249</v>
      </c>
      <c r="B116" s="252" t="s">
        <v>275</v>
      </c>
      <c r="C116" s="252" t="s">
        <v>276</v>
      </c>
      <c r="D116" s="252" t="s">
        <v>89</v>
      </c>
      <c r="E116" s="252" t="s">
        <v>46</v>
      </c>
      <c r="F116" s="253" t="s">
        <v>250</v>
      </c>
      <c r="G116" s="253" t="s">
        <v>251</v>
      </c>
      <c r="H116" s="254">
        <v>3.4</v>
      </c>
      <c r="I116" s="254">
        <v>8.1999999999999993</v>
      </c>
      <c r="J116" s="254">
        <v>31.154199999999996</v>
      </c>
      <c r="K116" s="254">
        <v>75.136599999999987</v>
      </c>
      <c r="L116" s="254">
        <v>-43.982399999999991</v>
      </c>
      <c r="M116" s="254">
        <v>-58.536585365853654</v>
      </c>
    </row>
    <row r="117" spans="1:13" ht="25.05" customHeight="1" x14ac:dyDescent="0.3">
      <c r="A117" s="253" t="s">
        <v>249</v>
      </c>
      <c r="B117" s="252" t="s">
        <v>277</v>
      </c>
      <c r="C117" s="252" t="s">
        <v>277</v>
      </c>
      <c r="D117" s="252" t="s">
        <v>239</v>
      </c>
      <c r="E117" s="252" t="s">
        <v>239</v>
      </c>
      <c r="F117" s="253" t="s">
        <v>250</v>
      </c>
      <c r="G117" s="253" t="s">
        <v>251</v>
      </c>
      <c r="H117" s="254">
        <v>7.8000000000000007</v>
      </c>
      <c r="I117" s="254">
        <v>14.2</v>
      </c>
      <c r="J117" s="254">
        <v>71.471400000000003</v>
      </c>
      <c r="K117" s="254">
        <v>130.1146</v>
      </c>
      <c r="L117" s="254">
        <v>-58.643199999999993</v>
      </c>
      <c r="M117" s="254">
        <v>-45.070422535211264</v>
      </c>
    </row>
    <row r="118" spans="1:13" ht="25.05" customHeight="1" x14ac:dyDescent="0.3">
      <c r="A118" s="253" t="s">
        <v>249</v>
      </c>
      <c r="B118" s="252" t="s">
        <v>278</v>
      </c>
      <c r="C118" s="252" t="s">
        <v>279</v>
      </c>
      <c r="D118" s="252" t="s">
        <v>49</v>
      </c>
      <c r="E118" s="252" t="s">
        <v>46</v>
      </c>
      <c r="F118" s="253" t="s">
        <v>250</v>
      </c>
      <c r="G118" s="253" t="s">
        <v>251</v>
      </c>
      <c r="H118" s="254">
        <v>5.0999999999999996</v>
      </c>
      <c r="I118" s="254">
        <v>5.0999999999999996</v>
      </c>
      <c r="J118" s="254">
        <v>46.731299999999997</v>
      </c>
      <c r="K118" s="254">
        <v>46.731299999999997</v>
      </c>
      <c r="L118" s="254">
        <v>0</v>
      </c>
      <c r="M118" s="254">
        <v>0</v>
      </c>
    </row>
    <row r="119" spans="1:13" ht="25.05" customHeight="1" x14ac:dyDescent="0.3">
      <c r="A119" s="253" t="s">
        <v>249</v>
      </c>
      <c r="B119" s="252" t="s">
        <v>280</v>
      </c>
      <c r="C119" s="252" t="s">
        <v>281</v>
      </c>
      <c r="D119" s="252" t="s">
        <v>89</v>
      </c>
      <c r="E119" s="252" t="s">
        <v>40</v>
      </c>
      <c r="F119" s="253" t="s">
        <v>250</v>
      </c>
      <c r="G119" s="253" t="s">
        <v>251</v>
      </c>
      <c r="H119" s="254">
        <v>9.6999999999999993</v>
      </c>
      <c r="I119" s="254">
        <v>9.3000000000000007</v>
      </c>
      <c r="J119" s="254">
        <v>88.881099999999989</v>
      </c>
      <c r="K119" s="254">
        <v>85.215899999999991</v>
      </c>
      <c r="L119" s="254">
        <v>3.6651999999999987</v>
      </c>
      <c r="M119" s="254">
        <v>4.3010752688172031</v>
      </c>
    </row>
    <row r="120" spans="1:13" ht="25.05" customHeight="1" x14ac:dyDescent="0.3">
      <c r="A120" s="253" t="s">
        <v>249</v>
      </c>
      <c r="B120" s="252" t="s">
        <v>282</v>
      </c>
      <c r="C120" s="252" t="s">
        <v>283</v>
      </c>
      <c r="D120" s="252" t="s">
        <v>129</v>
      </c>
      <c r="E120" s="252" t="s">
        <v>46</v>
      </c>
      <c r="F120" s="253" t="s">
        <v>250</v>
      </c>
      <c r="G120" s="253" t="s">
        <v>251</v>
      </c>
      <c r="H120" s="254">
        <v>3.4</v>
      </c>
      <c r="I120" s="254">
        <v>18.700000000000003</v>
      </c>
      <c r="J120" s="254">
        <v>31.154199999999996</v>
      </c>
      <c r="K120" s="254">
        <v>171.34810000000002</v>
      </c>
      <c r="L120" s="254">
        <v>-140.19390000000001</v>
      </c>
      <c r="M120" s="254">
        <v>-81.818181818181827</v>
      </c>
    </row>
    <row r="121" spans="1:13" ht="25.05" customHeight="1" x14ac:dyDescent="0.3">
      <c r="A121" s="253" t="s">
        <v>249</v>
      </c>
      <c r="B121" s="252" t="s">
        <v>284</v>
      </c>
      <c r="C121" s="252" t="s">
        <v>285</v>
      </c>
      <c r="D121" s="252" t="s">
        <v>126</v>
      </c>
      <c r="E121" s="252" t="s">
        <v>46</v>
      </c>
      <c r="F121" s="253" t="s">
        <v>250</v>
      </c>
      <c r="G121" s="253" t="s">
        <v>251</v>
      </c>
      <c r="H121" s="254">
        <v>4.0999999999999996</v>
      </c>
      <c r="I121" s="254">
        <v>6.4</v>
      </c>
      <c r="J121" s="254">
        <v>37.568299999999994</v>
      </c>
      <c r="K121" s="254">
        <v>58.643199999999993</v>
      </c>
      <c r="L121" s="254">
        <v>-21.0749</v>
      </c>
      <c r="M121" s="254">
        <v>-35.937500000000007</v>
      </c>
    </row>
    <row r="122" spans="1:13" ht="25.05" customHeight="1" x14ac:dyDescent="0.3">
      <c r="A122" s="253" t="s">
        <v>249</v>
      </c>
      <c r="B122" s="252" t="s">
        <v>286</v>
      </c>
      <c r="C122" s="252" t="s">
        <v>287</v>
      </c>
      <c r="D122" s="252" t="s">
        <v>129</v>
      </c>
      <c r="E122" s="252" t="s">
        <v>46</v>
      </c>
      <c r="F122" s="253" t="s">
        <v>250</v>
      </c>
      <c r="G122" s="253" t="s">
        <v>251</v>
      </c>
      <c r="H122" s="254">
        <v>10.9</v>
      </c>
      <c r="I122" s="254">
        <v>13.2</v>
      </c>
      <c r="J122" s="254">
        <v>99.876699999999985</v>
      </c>
      <c r="K122" s="254">
        <v>120.95159999999998</v>
      </c>
      <c r="L122" s="254">
        <v>-21.0749</v>
      </c>
      <c r="M122" s="254">
        <v>-17.424242424242426</v>
      </c>
    </row>
    <row r="123" spans="1:13" ht="25.05" customHeight="1" x14ac:dyDescent="0.3">
      <c r="A123" s="253" t="s">
        <v>249</v>
      </c>
      <c r="B123" s="252" t="s">
        <v>288</v>
      </c>
      <c r="C123" s="252" t="s">
        <v>289</v>
      </c>
      <c r="D123" s="252" t="s">
        <v>62</v>
      </c>
      <c r="E123" s="252" t="s">
        <v>46</v>
      </c>
      <c r="F123" s="253" t="s">
        <v>250</v>
      </c>
      <c r="G123" s="253" t="s">
        <v>251</v>
      </c>
      <c r="H123" s="254">
        <v>8</v>
      </c>
      <c r="I123" s="254">
        <v>9.4</v>
      </c>
      <c r="J123" s="254">
        <v>73.303999999999988</v>
      </c>
      <c r="K123" s="254">
        <v>86.132199999999997</v>
      </c>
      <c r="L123" s="254">
        <v>-12.82820000000001</v>
      </c>
      <c r="M123" s="254">
        <v>-14.893617021276606</v>
      </c>
    </row>
    <row r="124" spans="1:13" ht="25.05" customHeight="1" x14ac:dyDescent="0.3">
      <c r="A124" s="253" t="s">
        <v>249</v>
      </c>
      <c r="B124" s="252" t="s">
        <v>290</v>
      </c>
      <c r="C124" s="252" t="s">
        <v>291</v>
      </c>
      <c r="D124" s="252" t="s">
        <v>89</v>
      </c>
      <c r="E124" s="252" t="s">
        <v>46</v>
      </c>
      <c r="F124" s="253" t="s">
        <v>250</v>
      </c>
      <c r="G124" s="253" t="s">
        <v>251</v>
      </c>
      <c r="H124" s="254">
        <v>12.2</v>
      </c>
      <c r="I124" s="254">
        <v>12.010000000000002</v>
      </c>
      <c r="J124" s="254">
        <v>111.78859999999999</v>
      </c>
      <c r="K124" s="254">
        <v>110.04763000000001</v>
      </c>
      <c r="L124" s="254">
        <v>1.7409699999999759</v>
      </c>
      <c r="M124" s="254">
        <v>1.5820149875103859</v>
      </c>
    </row>
    <row r="125" spans="1:13" ht="25.05" customHeight="1" x14ac:dyDescent="0.3">
      <c r="A125" s="253" t="s">
        <v>249</v>
      </c>
      <c r="B125" s="252" t="s">
        <v>292</v>
      </c>
      <c r="C125" s="252" t="s">
        <v>293</v>
      </c>
      <c r="D125" s="252" t="s">
        <v>89</v>
      </c>
      <c r="E125" s="252" t="s">
        <v>46</v>
      </c>
      <c r="F125" s="253" t="s">
        <v>250</v>
      </c>
      <c r="G125" s="253" t="s">
        <v>251</v>
      </c>
      <c r="H125" s="254">
        <v>16.799999999999997</v>
      </c>
      <c r="I125" s="254">
        <v>15.82</v>
      </c>
      <c r="J125" s="254">
        <v>153.93839999999994</v>
      </c>
      <c r="K125" s="254">
        <v>144.95865999999998</v>
      </c>
      <c r="L125" s="254">
        <v>8.9797399999999641</v>
      </c>
      <c r="M125" s="254">
        <v>6.1946902654867024</v>
      </c>
    </row>
    <row r="126" spans="1:13" ht="25.05" customHeight="1" x14ac:dyDescent="0.3">
      <c r="A126" s="253" t="s">
        <v>249</v>
      </c>
      <c r="B126" s="252" t="s">
        <v>294</v>
      </c>
      <c r="C126" s="252">
        <v>0</v>
      </c>
      <c r="D126" s="252">
        <v>0</v>
      </c>
      <c r="E126" s="252" t="s">
        <v>20</v>
      </c>
      <c r="F126" s="253" t="s">
        <v>250</v>
      </c>
      <c r="G126" s="253" t="s">
        <v>251</v>
      </c>
      <c r="H126" s="254">
        <v>65.099999999999994</v>
      </c>
      <c r="I126" s="254">
        <v>77.259999999999991</v>
      </c>
      <c r="J126" s="254">
        <v>596.51129999999989</v>
      </c>
      <c r="K126" s="254">
        <v>707.93337999999983</v>
      </c>
      <c r="L126" s="254">
        <v>-111.42207999999994</v>
      </c>
      <c r="M126" s="254">
        <v>-15.739062904478379</v>
      </c>
    </row>
    <row r="127" spans="1:13" ht="25.05" customHeight="1" x14ac:dyDescent="0.3">
      <c r="A127" s="253" t="s">
        <v>249</v>
      </c>
      <c r="B127" s="252" t="s">
        <v>295</v>
      </c>
      <c r="C127" s="252" t="s">
        <v>296</v>
      </c>
      <c r="D127" s="252" t="s">
        <v>49</v>
      </c>
      <c r="E127" s="252" t="s">
        <v>46</v>
      </c>
      <c r="F127" s="253" t="s">
        <v>250</v>
      </c>
      <c r="G127" s="253" t="s">
        <v>251</v>
      </c>
      <c r="H127" s="254">
        <v>1.1000000000000001</v>
      </c>
      <c r="I127" s="254">
        <v>5.5259999999999998</v>
      </c>
      <c r="J127" s="254">
        <v>10.0793</v>
      </c>
      <c r="K127" s="254">
        <v>50.634737999999999</v>
      </c>
      <c r="L127" s="254">
        <v>-40.555437999999995</v>
      </c>
      <c r="M127" s="254">
        <v>-80.094100615273248</v>
      </c>
    </row>
    <row r="128" spans="1:13" ht="25.05" customHeight="1" x14ac:dyDescent="0.3">
      <c r="A128" s="253" t="s">
        <v>249</v>
      </c>
      <c r="B128" s="252" t="s">
        <v>297</v>
      </c>
      <c r="C128" s="252" t="s">
        <v>298</v>
      </c>
      <c r="D128" s="252" t="s">
        <v>43</v>
      </c>
      <c r="E128" s="252" t="s">
        <v>46</v>
      </c>
      <c r="F128" s="253" t="s">
        <v>250</v>
      </c>
      <c r="G128" s="253" t="s">
        <v>251</v>
      </c>
      <c r="H128" s="254">
        <v>2.5</v>
      </c>
      <c r="I128" s="254">
        <v>1.9</v>
      </c>
      <c r="J128" s="254">
        <v>22.907499999999999</v>
      </c>
      <c r="K128" s="254">
        <v>17.409699999999997</v>
      </c>
      <c r="L128" s="254">
        <v>5.4978000000000016</v>
      </c>
      <c r="M128" s="254">
        <v>31.578947368421069</v>
      </c>
    </row>
    <row r="129" spans="1:13" ht="25.05" customHeight="1" x14ac:dyDescent="0.3">
      <c r="A129" s="267" t="s">
        <v>249</v>
      </c>
      <c r="B129" s="268" t="s">
        <v>38</v>
      </c>
      <c r="C129" s="268">
        <v>0</v>
      </c>
      <c r="D129" s="268">
        <v>0</v>
      </c>
      <c r="E129" s="268" t="s">
        <v>20</v>
      </c>
      <c r="F129" s="267" t="s">
        <v>250</v>
      </c>
      <c r="G129" s="267" t="s">
        <v>251</v>
      </c>
      <c r="H129" s="269">
        <v>1253.2</v>
      </c>
      <c r="I129" s="269">
        <v>1289.8</v>
      </c>
      <c r="J129" s="269">
        <v>11483.071599999999</v>
      </c>
      <c r="K129" s="269">
        <v>11818.437399999999</v>
      </c>
      <c r="L129" s="269">
        <v>-335.36579999999958</v>
      </c>
      <c r="M129" s="269">
        <v>-2.8376492479454147</v>
      </c>
    </row>
    <row r="130" spans="1:13" ht="25.05" customHeight="1" x14ac:dyDescent="0.3">
      <c r="A130" s="253" t="s">
        <v>179</v>
      </c>
      <c r="B130" s="252" t="s">
        <v>1706</v>
      </c>
      <c r="C130" s="252" t="s">
        <v>1707</v>
      </c>
      <c r="D130" s="252" t="s">
        <v>49</v>
      </c>
      <c r="E130" s="252" t="s">
        <v>46</v>
      </c>
      <c r="F130" s="253" t="s">
        <v>21</v>
      </c>
      <c r="G130" s="253" t="s">
        <v>22</v>
      </c>
      <c r="H130" s="254">
        <v>4328</v>
      </c>
      <c r="I130" s="254">
        <v>3189</v>
      </c>
      <c r="J130" s="254">
        <v>4328</v>
      </c>
      <c r="K130" s="254">
        <v>3189</v>
      </c>
      <c r="L130" s="254">
        <v>1139</v>
      </c>
      <c r="M130" s="254">
        <v>35.716525556600814</v>
      </c>
    </row>
    <row r="131" spans="1:13" ht="25.05" customHeight="1" x14ac:dyDescent="0.3">
      <c r="A131" s="253" t="s">
        <v>179</v>
      </c>
      <c r="B131" s="252" t="s">
        <v>180</v>
      </c>
      <c r="C131" s="252" t="s">
        <v>181</v>
      </c>
      <c r="D131" s="252" t="s">
        <v>49</v>
      </c>
      <c r="E131" s="252" t="s">
        <v>40</v>
      </c>
      <c r="F131" s="253" t="s">
        <v>21</v>
      </c>
      <c r="G131" s="253" t="s">
        <v>22</v>
      </c>
      <c r="H131" s="254">
        <v>2042</v>
      </c>
      <c r="I131" s="254">
        <v>1469</v>
      </c>
      <c r="J131" s="254">
        <v>2042</v>
      </c>
      <c r="K131" s="254">
        <v>1469</v>
      </c>
      <c r="L131" s="254">
        <v>573</v>
      </c>
      <c r="M131" s="254">
        <v>39.006126616746087</v>
      </c>
    </row>
    <row r="132" spans="1:13" ht="25.05" customHeight="1" x14ac:dyDescent="0.3">
      <c r="A132" s="253" t="s">
        <v>179</v>
      </c>
      <c r="B132" s="252" t="s">
        <v>182</v>
      </c>
      <c r="C132" s="252" t="s">
        <v>183</v>
      </c>
      <c r="D132" s="252" t="s">
        <v>49</v>
      </c>
      <c r="E132" s="252" t="s">
        <v>46</v>
      </c>
      <c r="F132" s="253" t="s">
        <v>21</v>
      </c>
      <c r="G132" s="253" t="s">
        <v>22</v>
      </c>
      <c r="H132" s="254">
        <v>1776</v>
      </c>
      <c r="I132" s="254">
        <v>1198</v>
      </c>
      <c r="J132" s="254">
        <v>1776</v>
      </c>
      <c r="K132" s="254">
        <v>1198</v>
      </c>
      <c r="L132" s="254">
        <v>578</v>
      </c>
      <c r="M132" s="254">
        <v>48.247078464106849</v>
      </c>
    </row>
    <row r="133" spans="1:13" ht="25.05" customHeight="1" x14ac:dyDescent="0.3">
      <c r="A133" s="253" t="s">
        <v>179</v>
      </c>
      <c r="B133" s="252" t="s">
        <v>184</v>
      </c>
      <c r="C133" s="252" t="s">
        <v>185</v>
      </c>
      <c r="D133" s="252" t="s">
        <v>49</v>
      </c>
      <c r="E133" s="252" t="s">
        <v>46</v>
      </c>
      <c r="F133" s="253" t="s">
        <v>21</v>
      </c>
      <c r="G133" s="253" t="s">
        <v>22</v>
      </c>
      <c r="H133" s="254">
        <v>522</v>
      </c>
      <c r="I133" s="254">
        <v>164</v>
      </c>
      <c r="J133" s="254">
        <v>522</v>
      </c>
      <c r="K133" s="254">
        <v>164</v>
      </c>
      <c r="L133" s="254">
        <v>358</v>
      </c>
      <c r="M133" s="254">
        <v>218.29268292682929</v>
      </c>
    </row>
    <row r="134" spans="1:13" ht="25.05" customHeight="1" x14ac:dyDescent="0.3">
      <c r="A134" s="253" t="s">
        <v>179</v>
      </c>
      <c r="B134" s="252" t="s">
        <v>186</v>
      </c>
      <c r="C134" s="252" t="s">
        <v>187</v>
      </c>
      <c r="D134" s="252" t="s">
        <v>49</v>
      </c>
      <c r="E134" s="252" t="s">
        <v>46</v>
      </c>
      <c r="F134" s="253" t="s">
        <v>21</v>
      </c>
      <c r="G134" s="253" t="s">
        <v>22</v>
      </c>
      <c r="H134" s="254">
        <v>38</v>
      </c>
      <c r="I134" s="254">
        <v>0</v>
      </c>
      <c r="J134" s="254">
        <v>38</v>
      </c>
      <c r="K134" s="254">
        <v>0</v>
      </c>
      <c r="L134" s="254">
        <v>38</v>
      </c>
      <c r="M134" s="254">
        <v>100</v>
      </c>
    </row>
    <row r="135" spans="1:13" ht="25.05" customHeight="1" x14ac:dyDescent="0.3">
      <c r="A135" s="253" t="s">
        <v>179</v>
      </c>
      <c r="B135" s="252" t="s">
        <v>188</v>
      </c>
      <c r="C135" s="252" t="s">
        <v>189</v>
      </c>
      <c r="D135" s="252" t="s">
        <v>49</v>
      </c>
      <c r="E135" s="252" t="s">
        <v>46</v>
      </c>
      <c r="F135" s="253" t="s">
        <v>21</v>
      </c>
      <c r="G135" s="253" t="s">
        <v>22</v>
      </c>
      <c r="H135" s="254">
        <v>888</v>
      </c>
      <c r="I135" s="254">
        <v>813</v>
      </c>
      <c r="J135" s="254">
        <v>888</v>
      </c>
      <c r="K135" s="254">
        <v>813</v>
      </c>
      <c r="L135" s="254">
        <v>75</v>
      </c>
      <c r="M135" s="254">
        <v>9.2250922509225095</v>
      </c>
    </row>
    <row r="136" spans="1:13" ht="25.05" customHeight="1" x14ac:dyDescent="0.3">
      <c r="A136" s="253" t="s">
        <v>179</v>
      </c>
      <c r="B136" s="252" t="s">
        <v>190</v>
      </c>
      <c r="C136" s="252" t="s">
        <v>191</v>
      </c>
      <c r="D136" s="252" t="s">
        <v>49</v>
      </c>
      <c r="E136" s="252" t="s">
        <v>46</v>
      </c>
      <c r="F136" s="253" t="s">
        <v>21</v>
      </c>
      <c r="G136" s="253" t="s">
        <v>22</v>
      </c>
      <c r="H136" s="254">
        <v>580</v>
      </c>
      <c r="I136" s="254">
        <v>892</v>
      </c>
      <c r="J136" s="254">
        <v>580</v>
      </c>
      <c r="K136" s="254">
        <v>892</v>
      </c>
      <c r="L136" s="254">
        <v>-312</v>
      </c>
      <c r="M136" s="254">
        <v>-34.977578475336323</v>
      </c>
    </row>
    <row r="137" spans="1:13" ht="25.05" customHeight="1" x14ac:dyDescent="0.3">
      <c r="A137" s="253" t="s">
        <v>179</v>
      </c>
      <c r="B137" s="252" t="s">
        <v>192</v>
      </c>
      <c r="C137" s="252" t="s">
        <v>193</v>
      </c>
      <c r="D137" s="252" t="s">
        <v>49</v>
      </c>
      <c r="E137" s="252" t="s">
        <v>46</v>
      </c>
      <c r="F137" s="253" t="s">
        <v>21</v>
      </c>
      <c r="G137" s="253" t="s">
        <v>22</v>
      </c>
      <c r="H137" s="254">
        <v>268</v>
      </c>
      <c r="I137" s="254">
        <v>423</v>
      </c>
      <c r="J137" s="254">
        <v>268</v>
      </c>
      <c r="K137" s="254">
        <v>423</v>
      </c>
      <c r="L137" s="254">
        <v>-155</v>
      </c>
      <c r="M137" s="254">
        <v>-36.643026004728128</v>
      </c>
    </row>
    <row r="138" spans="1:13" ht="25.05" customHeight="1" x14ac:dyDescent="0.3">
      <c r="A138" s="253" t="s">
        <v>179</v>
      </c>
      <c r="B138" s="252" t="s">
        <v>194</v>
      </c>
      <c r="C138" s="252" t="s">
        <v>195</v>
      </c>
      <c r="D138" s="252" t="s">
        <v>49</v>
      </c>
      <c r="E138" s="252" t="s">
        <v>46</v>
      </c>
      <c r="F138" s="253" t="s">
        <v>21</v>
      </c>
      <c r="G138" s="253" t="s">
        <v>22</v>
      </c>
      <c r="H138" s="254">
        <v>185</v>
      </c>
      <c r="I138" s="254">
        <v>225</v>
      </c>
      <c r="J138" s="254">
        <v>185</v>
      </c>
      <c r="K138" s="254">
        <v>225</v>
      </c>
      <c r="L138" s="254">
        <v>-40</v>
      </c>
      <c r="M138" s="254">
        <v>-17.777777777777779</v>
      </c>
    </row>
    <row r="139" spans="1:13" ht="25.05" customHeight="1" x14ac:dyDescent="0.3">
      <c r="A139" s="253" t="s">
        <v>179</v>
      </c>
      <c r="B139" s="252" t="s">
        <v>196</v>
      </c>
      <c r="C139" s="252" t="s">
        <v>197</v>
      </c>
      <c r="D139" s="252" t="s">
        <v>49</v>
      </c>
      <c r="E139" s="252" t="s">
        <v>46</v>
      </c>
      <c r="F139" s="253" t="s">
        <v>21</v>
      </c>
      <c r="G139" s="253" t="s">
        <v>22</v>
      </c>
      <c r="H139" s="254">
        <v>172</v>
      </c>
      <c r="I139" s="254">
        <v>200</v>
      </c>
      <c r="J139" s="254">
        <v>172</v>
      </c>
      <c r="K139" s="254">
        <v>200</v>
      </c>
      <c r="L139" s="254">
        <v>-28</v>
      </c>
      <c r="M139" s="254">
        <v>-14.000000000000002</v>
      </c>
    </row>
    <row r="140" spans="1:13" ht="25.05" customHeight="1" x14ac:dyDescent="0.3">
      <c r="A140" s="253" t="s">
        <v>179</v>
      </c>
      <c r="B140" s="252" t="s">
        <v>23</v>
      </c>
      <c r="C140" s="252">
        <v>0</v>
      </c>
      <c r="D140" s="252">
        <v>0</v>
      </c>
      <c r="E140" s="252" t="s">
        <v>20</v>
      </c>
      <c r="F140" s="253" t="s">
        <v>21</v>
      </c>
      <c r="G140" s="253" t="s">
        <v>22</v>
      </c>
      <c r="H140" s="254">
        <v>51</v>
      </c>
      <c r="I140" s="254">
        <v>94</v>
      </c>
      <c r="J140" s="254">
        <v>51</v>
      </c>
      <c r="K140" s="254">
        <v>94</v>
      </c>
      <c r="L140" s="254">
        <v>-43</v>
      </c>
      <c r="M140" s="254">
        <v>-45.744680851063826</v>
      </c>
    </row>
    <row r="141" spans="1:13" ht="25.05" customHeight="1" x14ac:dyDescent="0.3">
      <c r="A141" s="253" t="s">
        <v>179</v>
      </c>
      <c r="B141" s="252" t="s">
        <v>198</v>
      </c>
      <c r="C141" s="252">
        <v>0</v>
      </c>
      <c r="D141" s="252" t="s">
        <v>49</v>
      </c>
      <c r="E141" s="252" t="s">
        <v>20</v>
      </c>
      <c r="F141" s="253" t="s">
        <v>21</v>
      </c>
      <c r="G141" s="253" t="s">
        <v>22</v>
      </c>
      <c r="H141" s="254">
        <v>10850</v>
      </c>
      <c r="I141" s="254">
        <v>8667</v>
      </c>
      <c r="J141" s="254">
        <v>10850</v>
      </c>
      <c r="K141" s="254">
        <v>8667</v>
      </c>
      <c r="L141" s="254">
        <v>2183</v>
      </c>
      <c r="M141" s="254">
        <v>25.187492788738897</v>
      </c>
    </row>
    <row r="142" spans="1:13" ht="25.05" customHeight="1" x14ac:dyDescent="0.3">
      <c r="A142" s="253" t="s">
        <v>179</v>
      </c>
      <c r="B142" s="252" t="s">
        <v>199</v>
      </c>
      <c r="C142" s="252" t="s">
        <v>200</v>
      </c>
      <c r="D142" s="252" t="s">
        <v>201</v>
      </c>
      <c r="E142" s="252" t="s">
        <v>46</v>
      </c>
      <c r="F142" s="253" t="s">
        <v>21</v>
      </c>
      <c r="G142" s="253" t="s">
        <v>22</v>
      </c>
      <c r="H142" s="254">
        <v>1959</v>
      </c>
      <c r="I142" s="254">
        <v>1543</v>
      </c>
      <c r="J142" s="254">
        <v>1959</v>
      </c>
      <c r="K142" s="254">
        <v>1543</v>
      </c>
      <c r="L142" s="254">
        <v>416</v>
      </c>
      <c r="M142" s="254">
        <v>26.960466623460789</v>
      </c>
    </row>
    <row r="143" spans="1:13" ht="25.05" customHeight="1" x14ac:dyDescent="0.3">
      <c r="A143" s="253" t="s">
        <v>179</v>
      </c>
      <c r="B143" s="252" t="s">
        <v>202</v>
      </c>
      <c r="C143" s="252" t="s">
        <v>203</v>
      </c>
      <c r="D143" s="252" t="s">
        <v>129</v>
      </c>
      <c r="E143" s="252" t="s">
        <v>46</v>
      </c>
      <c r="F143" s="253" t="s">
        <v>21</v>
      </c>
      <c r="G143" s="253" t="s">
        <v>22</v>
      </c>
      <c r="H143" s="254">
        <v>1593</v>
      </c>
      <c r="I143" s="254">
        <v>1581</v>
      </c>
      <c r="J143" s="254">
        <v>1593</v>
      </c>
      <c r="K143" s="254">
        <v>1581</v>
      </c>
      <c r="L143" s="254">
        <v>12</v>
      </c>
      <c r="M143" s="254">
        <v>0.75901328273244784</v>
      </c>
    </row>
    <row r="144" spans="1:13" ht="25.05" customHeight="1" x14ac:dyDescent="0.3">
      <c r="A144" s="253" t="s">
        <v>179</v>
      </c>
      <c r="B144" s="252" t="s">
        <v>204</v>
      </c>
      <c r="C144" s="273" t="s">
        <v>1832</v>
      </c>
      <c r="D144" s="252" t="s">
        <v>201</v>
      </c>
      <c r="E144" s="252" t="s">
        <v>46</v>
      </c>
      <c r="F144" s="253" t="s">
        <v>21</v>
      </c>
      <c r="G144" s="253" t="s">
        <v>22</v>
      </c>
      <c r="H144" s="254">
        <v>470</v>
      </c>
      <c r="I144" s="254">
        <v>527</v>
      </c>
      <c r="J144" s="254">
        <v>470</v>
      </c>
      <c r="K144" s="254">
        <v>527</v>
      </c>
      <c r="L144" s="254">
        <v>-57</v>
      </c>
      <c r="M144" s="254">
        <v>-10.815939278937382</v>
      </c>
    </row>
    <row r="145" spans="1:13" ht="25.05" customHeight="1" x14ac:dyDescent="0.3">
      <c r="A145" s="253" t="s">
        <v>179</v>
      </c>
      <c r="B145" s="252" t="s">
        <v>206</v>
      </c>
      <c r="C145" s="252" t="s">
        <v>207</v>
      </c>
      <c r="D145" s="252" t="s">
        <v>201</v>
      </c>
      <c r="E145" s="252" t="s">
        <v>46</v>
      </c>
      <c r="F145" s="253" t="s">
        <v>21</v>
      </c>
      <c r="G145" s="253" t="s">
        <v>22</v>
      </c>
      <c r="H145" s="254">
        <v>448</v>
      </c>
      <c r="I145" s="254">
        <v>549</v>
      </c>
      <c r="J145" s="254">
        <v>448</v>
      </c>
      <c r="K145" s="254">
        <v>549</v>
      </c>
      <c r="L145" s="254">
        <v>-101</v>
      </c>
      <c r="M145" s="254">
        <v>-18.397085610200364</v>
      </c>
    </row>
    <row r="146" spans="1:13" ht="25.05" customHeight="1" x14ac:dyDescent="0.3">
      <c r="A146" s="253" t="s">
        <v>179</v>
      </c>
      <c r="B146" s="252" t="s">
        <v>208</v>
      </c>
      <c r="C146" s="252" t="s">
        <v>207</v>
      </c>
      <c r="D146" s="252" t="s">
        <v>201</v>
      </c>
      <c r="E146" s="252" t="s">
        <v>46</v>
      </c>
      <c r="F146" s="253" t="s">
        <v>21</v>
      </c>
      <c r="G146" s="253" t="s">
        <v>22</v>
      </c>
      <c r="H146" s="254">
        <v>68</v>
      </c>
      <c r="I146" s="254">
        <v>110</v>
      </c>
      <c r="J146" s="254">
        <v>68</v>
      </c>
      <c r="K146" s="254">
        <v>110</v>
      </c>
      <c r="L146" s="254">
        <v>-42</v>
      </c>
      <c r="M146" s="254">
        <v>-38.181818181818187</v>
      </c>
    </row>
    <row r="147" spans="1:13" ht="25.05" customHeight="1" x14ac:dyDescent="0.3">
      <c r="A147" s="253" t="s">
        <v>179</v>
      </c>
      <c r="B147" s="252" t="s">
        <v>209</v>
      </c>
      <c r="C147" s="252">
        <v>0</v>
      </c>
      <c r="D147" s="252" t="s">
        <v>201</v>
      </c>
      <c r="E147" s="252" t="s">
        <v>20</v>
      </c>
      <c r="F147" s="253" t="s">
        <v>21</v>
      </c>
      <c r="G147" s="253" t="s">
        <v>22</v>
      </c>
      <c r="H147" s="254">
        <v>47</v>
      </c>
      <c r="I147" s="254">
        <v>52</v>
      </c>
      <c r="J147" s="254">
        <v>47</v>
      </c>
      <c r="K147" s="254">
        <v>52</v>
      </c>
      <c r="L147" s="254">
        <v>-5</v>
      </c>
      <c r="M147" s="254">
        <v>-9.6153846153846168</v>
      </c>
    </row>
    <row r="148" spans="1:13" ht="25.05" customHeight="1" x14ac:dyDescent="0.3">
      <c r="A148" s="253" t="s">
        <v>179</v>
      </c>
      <c r="B148" s="252" t="s">
        <v>210</v>
      </c>
      <c r="C148" s="252" t="s">
        <v>211</v>
      </c>
      <c r="D148" s="252" t="s">
        <v>129</v>
      </c>
      <c r="E148" s="252" t="s">
        <v>46</v>
      </c>
      <c r="F148" s="253" t="s">
        <v>21</v>
      </c>
      <c r="G148" s="253" t="s">
        <v>22</v>
      </c>
      <c r="H148" s="254">
        <v>76</v>
      </c>
      <c r="I148" s="254">
        <v>14</v>
      </c>
      <c r="J148" s="254">
        <v>76</v>
      </c>
      <c r="K148" s="254">
        <v>14</v>
      </c>
      <c r="L148" s="254">
        <v>62</v>
      </c>
      <c r="M148" s="254">
        <v>442.85714285714289</v>
      </c>
    </row>
    <row r="149" spans="1:13" ht="25.05" customHeight="1" x14ac:dyDescent="0.3">
      <c r="A149" s="253" t="s">
        <v>179</v>
      </c>
      <c r="B149" s="252" t="s">
        <v>212</v>
      </c>
      <c r="C149" s="252" t="s">
        <v>213</v>
      </c>
      <c r="D149" s="252" t="s">
        <v>129</v>
      </c>
      <c r="E149" s="252" t="s">
        <v>46</v>
      </c>
      <c r="F149" s="253" t="s">
        <v>21</v>
      </c>
      <c r="G149" s="253" t="s">
        <v>22</v>
      </c>
      <c r="H149" s="254">
        <v>1180</v>
      </c>
      <c r="I149" s="254">
        <v>1278</v>
      </c>
      <c r="J149" s="254">
        <v>1180</v>
      </c>
      <c r="K149" s="254">
        <v>1278</v>
      </c>
      <c r="L149" s="254">
        <v>-98</v>
      </c>
      <c r="M149" s="254">
        <v>-7.6682316118935834</v>
      </c>
    </row>
    <row r="150" spans="1:13" ht="25.05" customHeight="1" x14ac:dyDescent="0.3">
      <c r="A150" s="253" t="s">
        <v>179</v>
      </c>
      <c r="B150" s="252" t="s">
        <v>214</v>
      </c>
      <c r="C150" s="252" t="s">
        <v>215</v>
      </c>
      <c r="D150" s="252" t="s">
        <v>129</v>
      </c>
      <c r="E150" s="252" t="s">
        <v>46</v>
      </c>
      <c r="F150" s="253" t="s">
        <v>21</v>
      </c>
      <c r="G150" s="253" t="s">
        <v>22</v>
      </c>
      <c r="H150" s="254">
        <v>821</v>
      </c>
      <c r="I150" s="254">
        <v>760</v>
      </c>
      <c r="J150" s="254">
        <v>821</v>
      </c>
      <c r="K150" s="254">
        <v>760</v>
      </c>
      <c r="L150" s="254">
        <v>61</v>
      </c>
      <c r="M150" s="254">
        <v>8.026315789473685</v>
      </c>
    </row>
    <row r="151" spans="1:13" ht="25.05" customHeight="1" x14ac:dyDescent="0.3">
      <c r="A151" s="253" t="s">
        <v>179</v>
      </c>
      <c r="B151" s="252" t="s">
        <v>216</v>
      </c>
      <c r="C151" s="252" t="s">
        <v>217</v>
      </c>
      <c r="D151" s="252" t="s">
        <v>129</v>
      </c>
      <c r="E151" s="252" t="s">
        <v>46</v>
      </c>
      <c r="F151" s="253" t="s">
        <v>21</v>
      </c>
      <c r="G151" s="253" t="s">
        <v>22</v>
      </c>
      <c r="H151" s="254">
        <v>243</v>
      </c>
      <c r="I151" s="254">
        <v>221</v>
      </c>
      <c r="J151" s="254">
        <v>243</v>
      </c>
      <c r="K151" s="254">
        <v>221</v>
      </c>
      <c r="L151" s="254">
        <v>22</v>
      </c>
      <c r="M151" s="254">
        <v>9.9547511312217196</v>
      </c>
    </row>
    <row r="152" spans="1:13" ht="25.05" customHeight="1" x14ac:dyDescent="0.3">
      <c r="A152" s="253" t="s">
        <v>179</v>
      </c>
      <c r="B152" s="252" t="s">
        <v>23</v>
      </c>
      <c r="C152" s="252">
        <v>0</v>
      </c>
      <c r="D152" s="252" t="s">
        <v>129</v>
      </c>
      <c r="E152" s="252" t="s">
        <v>20</v>
      </c>
      <c r="F152" s="253" t="s">
        <v>21</v>
      </c>
      <c r="G152" s="253" t="s">
        <v>22</v>
      </c>
      <c r="H152" s="254">
        <v>191</v>
      </c>
      <c r="I152" s="254">
        <v>271</v>
      </c>
      <c r="J152" s="254">
        <v>191</v>
      </c>
      <c r="K152" s="254">
        <v>271</v>
      </c>
      <c r="L152" s="254">
        <v>-80</v>
      </c>
      <c r="M152" s="254">
        <v>-29.520295202952028</v>
      </c>
    </row>
    <row r="153" spans="1:13" ht="25.05" customHeight="1" x14ac:dyDescent="0.3">
      <c r="A153" s="253" t="s">
        <v>179</v>
      </c>
      <c r="B153" s="252" t="s">
        <v>218</v>
      </c>
      <c r="C153" s="252">
        <v>0</v>
      </c>
      <c r="D153" s="252">
        <v>0</v>
      </c>
      <c r="E153" s="252" t="s">
        <v>20</v>
      </c>
      <c r="F153" s="253" t="s">
        <v>21</v>
      </c>
      <c r="G153" s="253" t="s">
        <v>22</v>
      </c>
      <c r="H153" s="254">
        <v>7096</v>
      </c>
      <c r="I153" s="254">
        <v>6906</v>
      </c>
      <c r="J153" s="254">
        <v>7096</v>
      </c>
      <c r="K153" s="254">
        <v>6906</v>
      </c>
      <c r="L153" s="254">
        <v>190</v>
      </c>
      <c r="M153" s="254">
        <v>2.7512308137851145</v>
      </c>
    </row>
    <row r="154" spans="1:13" ht="25.05" customHeight="1" x14ac:dyDescent="0.3">
      <c r="A154" s="253" t="s">
        <v>179</v>
      </c>
      <c r="B154" s="252" t="s">
        <v>219</v>
      </c>
      <c r="C154" s="252" t="s">
        <v>220</v>
      </c>
      <c r="D154" s="252" t="s">
        <v>221</v>
      </c>
      <c r="E154" s="252" t="s">
        <v>46</v>
      </c>
      <c r="F154" s="253" t="s">
        <v>21</v>
      </c>
      <c r="G154" s="253" t="s">
        <v>22</v>
      </c>
      <c r="H154" s="254">
        <v>2721</v>
      </c>
      <c r="I154" s="254">
        <v>2495</v>
      </c>
      <c r="J154" s="254">
        <v>2721</v>
      </c>
      <c r="K154" s="254">
        <v>2495</v>
      </c>
      <c r="L154" s="254">
        <v>226</v>
      </c>
      <c r="M154" s="254">
        <v>9.0581162324649291</v>
      </c>
    </row>
    <row r="155" spans="1:13" ht="25.05" customHeight="1" x14ac:dyDescent="0.3">
      <c r="A155" s="253" t="s">
        <v>179</v>
      </c>
      <c r="B155" s="252" t="s">
        <v>222</v>
      </c>
      <c r="C155" s="252" t="s">
        <v>223</v>
      </c>
      <c r="D155" s="252" t="s">
        <v>221</v>
      </c>
      <c r="E155" s="252" t="s">
        <v>46</v>
      </c>
      <c r="F155" s="253" t="s">
        <v>21</v>
      </c>
      <c r="G155" s="253" t="s">
        <v>22</v>
      </c>
      <c r="H155" s="254">
        <v>996</v>
      </c>
      <c r="I155" s="254">
        <v>1466</v>
      </c>
      <c r="J155" s="254">
        <v>996</v>
      </c>
      <c r="K155" s="254">
        <v>1466</v>
      </c>
      <c r="L155" s="254">
        <v>-470</v>
      </c>
      <c r="M155" s="254">
        <v>-32.060027285129607</v>
      </c>
    </row>
    <row r="156" spans="1:13" ht="25.05" customHeight="1" x14ac:dyDescent="0.3">
      <c r="A156" s="253" t="s">
        <v>179</v>
      </c>
      <c r="B156" s="252" t="s">
        <v>224</v>
      </c>
      <c r="C156" s="252" t="s">
        <v>225</v>
      </c>
      <c r="D156" s="252" t="s">
        <v>221</v>
      </c>
      <c r="E156" s="252" t="s">
        <v>40</v>
      </c>
      <c r="F156" s="253" t="s">
        <v>21</v>
      </c>
      <c r="G156" s="253" t="s">
        <v>22</v>
      </c>
      <c r="H156" s="254">
        <v>949</v>
      </c>
      <c r="I156" s="254">
        <v>704</v>
      </c>
      <c r="J156" s="254">
        <v>949</v>
      </c>
      <c r="K156" s="254">
        <v>704</v>
      </c>
      <c r="L156" s="254">
        <v>245</v>
      </c>
      <c r="M156" s="254">
        <v>34.801136363636367</v>
      </c>
    </row>
    <row r="157" spans="1:13" ht="25.05" customHeight="1" x14ac:dyDescent="0.3">
      <c r="A157" s="253" t="s">
        <v>179</v>
      </c>
      <c r="B157" s="252" t="s">
        <v>226</v>
      </c>
      <c r="C157" s="252" t="s">
        <v>227</v>
      </c>
      <c r="D157" s="252" t="s">
        <v>221</v>
      </c>
      <c r="E157" s="252" t="s">
        <v>46</v>
      </c>
      <c r="F157" s="253" t="s">
        <v>21</v>
      </c>
      <c r="G157" s="253" t="s">
        <v>22</v>
      </c>
      <c r="H157" s="254">
        <v>217</v>
      </c>
      <c r="I157" s="254">
        <v>215</v>
      </c>
      <c r="J157" s="254">
        <v>217</v>
      </c>
      <c r="K157" s="254">
        <v>215</v>
      </c>
      <c r="L157" s="254">
        <v>2</v>
      </c>
      <c r="M157" s="254">
        <v>0.93023255813953487</v>
      </c>
    </row>
    <row r="158" spans="1:13" ht="25.05" customHeight="1" x14ac:dyDescent="0.3">
      <c r="A158" s="253" t="s">
        <v>179</v>
      </c>
      <c r="B158" s="252" t="s">
        <v>228</v>
      </c>
      <c r="C158" s="273" t="s">
        <v>1825</v>
      </c>
      <c r="D158" s="252" t="s">
        <v>221</v>
      </c>
      <c r="E158" s="252" t="s">
        <v>46</v>
      </c>
      <c r="F158" s="253" t="s">
        <v>21</v>
      </c>
      <c r="G158" s="253" t="s">
        <v>22</v>
      </c>
      <c r="H158" s="254">
        <v>48</v>
      </c>
      <c r="I158" s="254">
        <v>42</v>
      </c>
      <c r="J158" s="254">
        <v>48</v>
      </c>
      <c r="K158" s="254">
        <v>42</v>
      </c>
      <c r="L158" s="254">
        <v>6</v>
      </c>
      <c r="M158" s="254">
        <v>14.285714285714285</v>
      </c>
    </row>
    <row r="159" spans="1:13" ht="25.05" customHeight="1" x14ac:dyDescent="0.3">
      <c r="A159" s="253" t="s">
        <v>179</v>
      </c>
      <c r="B159" s="252" t="s">
        <v>230</v>
      </c>
      <c r="C159" s="273" t="s">
        <v>1826</v>
      </c>
      <c r="D159" s="252" t="s">
        <v>221</v>
      </c>
      <c r="E159" s="252" t="s">
        <v>46</v>
      </c>
      <c r="F159" s="253" t="s">
        <v>21</v>
      </c>
      <c r="G159" s="253" t="s">
        <v>22</v>
      </c>
      <c r="H159" s="254">
        <v>28</v>
      </c>
      <c r="I159" s="254">
        <v>2</v>
      </c>
      <c r="J159" s="254">
        <v>28</v>
      </c>
      <c r="K159" s="254">
        <v>2</v>
      </c>
      <c r="L159" s="254">
        <v>26</v>
      </c>
      <c r="M159" s="254">
        <v>1300</v>
      </c>
    </row>
    <row r="160" spans="1:13" ht="25.05" customHeight="1" x14ac:dyDescent="0.3">
      <c r="A160" s="253" t="s">
        <v>179</v>
      </c>
      <c r="B160" s="252" t="s">
        <v>23</v>
      </c>
      <c r="C160" s="252">
        <v>0</v>
      </c>
      <c r="D160" s="252" t="s">
        <v>221</v>
      </c>
      <c r="E160" s="252" t="s">
        <v>20</v>
      </c>
      <c r="F160" s="253" t="s">
        <v>21</v>
      </c>
      <c r="G160" s="253" t="s">
        <v>22</v>
      </c>
      <c r="H160" s="254">
        <v>398</v>
      </c>
      <c r="I160" s="254">
        <v>467</v>
      </c>
      <c r="J160" s="254">
        <v>398</v>
      </c>
      <c r="K160" s="254">
        <v>467</v>
      </c>
      <c r="L160" s="254">
        <v>-69</v>
      </c>
      <c r="M160" s="254">
        <v>-14.775160599571734</v>
      </c>
    </row>
    <row r="161" spans="1:13" ht="25.05" customHeight="1" x14ac:dyDescent="0.3">
      <c r="A161" s="253" t="s">
        <v>179</v>
      </c>
      <c r="B161" s="252" t="s">
        <v>232</v>
      </c>
      <c r="C161" s="252">
        <v>0</v>
      </c>
      <c r="D161" s="252">
        <v>0</v>
      </c>
      <c r="E161" s="252" t="s">
        <v>20</v>
      </c>
      <c r="F161" s="253" t="s">
        <v>21</v>
      </c>
      <c r="G161" s="253" t="s">
        <v>22</v>
      </c>
      <c r="H161" s="254">
        <v>5357</v>
      </c>
      <c r="I161" s="254">
        <v>5391</v>
      </c>
      <c r="J161" s="254">
        <v>5357</v>
      </c>
      <c r="K161" s="254">
        <v>5391</v>
      </c>
      <c r="L161" s="254">
        <v>-34</v>
      </c>
      <c r="M161" s="254">
        <v>-0.63068076423669084</v>
      </c>
    </row>
    <row r="162" spans="1:13" ht="25.05" customHeight="1" x14ac:dyDescent="0.3">
      <c r="A162" s="253" t="s">
        <v>179</v>
      </c>
      <c r="B162" s="252" t="s">
        <v>233</v>
      </c>
      <c r="C162" s="252" t="s">
        <v>234</v>
      </c>
      <c r="D162" s="252" t="s">
        <v>97</v>
      </c>
      <c r="E162" s="252" t="s">
        <v>46</v>
      </c>
      <c r="F162" s="253" t="s">
        <v>21</v>
      </c>
      <c r="G162" s="253" t="s">
        <v>22</v>
      </c>
      <c r="H162" s="254">
        <v>1492</v>
      </c>
      <c r="I162" s="254">
        <v>1483</v>
      </c>
      <c r="J162" s="254">
        <v>1492</v>
      </c>
      <c r="K162" s="254">
        <v>1483</v>
      </c>
      <c r="L162" s="254">
        <v>9</v>
      </c>
      <c r="M162" s="254">
        <v>0.60687795010114631</v>
      </c>
    </row>
    <row r="163" spans="1:13" ht="25.05" customHeight="1" x14ac:dyDescent="0.3">
      <c r="A163" s="253" t="s">
        <v>179</v>
      </c>
      <c r="B163" s="252" t="s">
        <v>235</v>
      </c>
      <c r="C163" s="252" t="s">
        <v>236</v>
      </c>
      <c r="D163" s="252" t="s">
        <v>221</v>
      </c>
      <c r="E163" s="252" t="s">
        <v>40</v>
      </c>
      <c r="F163" s="253" t="s">
        <v>21</v>
      </c>
      <c r="G163" s="253" t="s">
        <v>22</v>
      </c>
      <c r="H163" s="254">
        <v>372</v>
      </c>
      <c r="I163" s="254">
        <v>358</v>
      </c>
      <c r="J163" s="254">
        <v>372</v>
      </c>
      <c r="K163" s="254">
        <v>358</v>
      </c>
      <c r="L163" s="254">
        <v>14</v>
      </c>
      <c r="M163" s="254">
        <v>3.9106145251396649</v>
      </c>
    </row>
    <row r="164" spans="1:13" ht="25.05" customHeight="1" x14ac:dyDescent="0.3">
      <c r="A164" s="253" t="s">
        <v>179</v>
      </c>
      <c r="B164" s="252" t="s">
        <v>237</v>
      </c>
      <c r="C164" s="252" t="s">
        <v>238</v>
      </c>
      <c r="D164" s="252" t="s">
        <v>239</v>
      </c>
      <c r="E164" s="252" t="s">
        <v>239</v>
      </c>
      <c r="F164" s="253" t="s">
        <v>21</v>
      </c>
      <c r="G164" s="253" t="s">
        <v>22</v>
      </c>
      <c r="H164" s="254">
        <v>295</v>
      </c>
      <c r="I164" s="254">
        <v>113</v>
      </c>
      <c r="J164" s="254">
        <v>295</v>
      </c>
      <c r="K164" s="254">
        <v>113</v>
      </c>
      <c r="L164" s="254">
        <v>182</v>
      </c>
      <c r="M164" s="254">
        <v>161.06194690265488</v>
      </c>
    </row>
    <row r="165" spans="1:13" ht="25.05" customHeight="1" x14ac:dyDescent="0.3">
      <c r="A165" s="253" t="s">
        <v>179</v>
      </c>
      <c r="B165" s="252" t="s">
        <v>240</v>
      </c>
      <c r="C165" s="252" t="s">
        <v>241</v>
      </c>
      <c r="D165" s="252" t="s">
        <v>97</v>
      </c>
      <c r="E165" s="252" t="s">
        <v>46</v>
      </c>
      <c r="F165" s="253" t="s">
        <v>21</v>
      </c>
      <c r="G165" s="253" t="s">
        <v>22</v>
      </c>
      <c r="H165" s="254">
        <v>183</v>
      </c>
      <c r="I165" s="254">
        <v>263</v>
      </c>
      <c r="J165" s="254">
        <v>183</v>
      </c>
      <c r="K165" s="254">
        <v>263</v>
      </c>
      <c r="L165" s="254">
        <v>-80</v>
      </c>
      <c r="M165" s="254">
        <v>-30.418250950570343</v>
      </c>
    </row>
    <row r="166" spans="1:13" ht="25.05" customHeight="1" x14ac:dyDescent="0.3">
      <c r="A166" s="253" t="s">
        <v>179</v>
      </c>
      <c r="B166" s="252" t="s">
        <v>242</v>
      </c>
      <c r="C166" s="252" t="s">
        <v>243</v>
      </c>
      <c r="D166" s="252" t="s">
        <v>62</v>
      </c>
      <c r="E166" s="252" t="s">
        <v>46</v>
      </c>
      <c r="F166" s="253" t="s">
        <v>21</v>
      </c>
      <c r="G166" s="253" t="s">
        <v>22</v>
      </c>
      <c r="H166" s="254">
        <v>117</v>
      </c>
      <c r="I166" s="254">
        <v>191</v>
      </c>
      <c r="J166" s="254">
        <v>117</v>
      </c>
      <c r="K166" s="254">
        <v>191</v>
      </c>
      <c r="L166" s="254">
        <v>-74</v>
      </c>
      <c r="M166" s="254">
        <v>-38.7434554973822</v>
      </c>
    </row>
    <row r="167" spans="1:13" ht="25.05" customHeight="1" x14ac:dyDescent="0.3">
      <c r="A167" s="253" t="s">
        <v>179</v>
      </c>
      <c r="B167" s="252" t="s">
        <v>244</v>
      </c>
      <c r="C167" s="252">
        <v>0</v>
      </c>
      <c r="D167" s="252">
        <v>0</v>
      </c>
      <c r="E167" s="252" t="s">
        <v>20</v>
      </c>
      <c r="F167" s="253" t="s">
        <v>21</v>
      </c>
      <c r="G167" s="253" t="s">
        <v>22</v>
      </c>
      <c r="H167" s="254">
        <v>128</v>
      </c>
      <c r="I167" s="254">
        <v>193</v>
      </c>
      <c r="J167" s="254">
        <v>128</v>
      </c>
      <c r="K167" s="254">
        <v>193</v>
      </c>
      <c r="L167" s="254">
        <v>-65</v>
      </c>
      <c r="M167" s="254">
        <v>-33.678756476683937</v>
      </c>
    </row>
    <row r="168" spans="1:13" ht="25.05" customHeight="1" x14ac:dyDescent="0.3">
      <c r="A168" s="253" t="s">
        <v>179</v>
      </c>
      <c r="B168" s="252" t="s">
        <v>245</v>
      </c>
      <c r="C168" s="252">
        <v>0</v>
      </c>
      <c r="D168" s="252">
        <v>0</v>
      </c>
      <c r="E168" s="252" t="s">
        <v>20</v>
      </c>
      <c r="F168" s="253" t="s">
        <v>21</v>
      </c>
      <c r="G168" s="253" t="s">
        <v>22</v>
      </c>
      <c r="H168" s="254">
        <v>2587</v>
      </c>
      <c r="I168" s="254">
        <v>2601</v>
      </c>
      <c r="J168" s="254">
        <v>2587</v>
      </c>
      <c r="K168" s="254">
        <v>2601</v>
      </c>
      <c r="L168" s="254">
        <v>-14</v>
      </c>
      <c r="M168" s="254">
        <v>-0.5382545174932718</v>
      </c>
    </row>
    <row r="169" spans="1:13" ht="25.05" customHeight="1" x14ac:dyDescent="0.3">
      <c r="A169" s="253" t="s">
        <v>179</v>
      </c>
      <c r="B169" s="252" t="s">
        <v>246</v>
      </c>
      <c r="C169" s="252">
        <v>0</v>
      </c>
      <c r="D169" s="252">
        <v>0</v>
      </c>
      <c r="E169" s="252" t="s">
        <v>20</v>
      </c>
      <c r="F169" s="253" t="s">
        <v>21</v>
      </c>
      <c r="G169" s="253" t="s">
        <v>22</v>
      </c>
      <c r="H169" s="254">
        <v>25890</v>
      </c>
      <c r="I169" s="254">
        <v>23565</v>
      </c>
      <c r="J169" s="254">
        <v>25890</v>
      </c>
      <c r="K169" s="254">
        <v>23565</v>
      </c>
      <c r="L169" s="254">
        <v>2325</v>
      </c>
      <c r="M169" s="254">
        <v>9.8663271801400381</v>
      </c>
    </row>
    <row r="170" spans="1:13" ht="25.05" customHeight="1" x14ac:dyDescent="0.3">
      <c r="A170" s="253" t="s">
        <v>179</v>
      </c>
      <c r="B170" s="252" t="s">
        <v>247</v>
      </c>
      <c r="C170" s="252">
        <v>0</v>
      </c>
      <c r="D170" s="252">
        <v>0</v>
      </c>
      <c r="E170" s="252" t="s">
        <v>20</v>
      </c>
      <c r="F170" s="253" t="s">
        <v>21</v>
      </c>
      <c r="G170" s="253" t="s">
        <v>22</v>
      </c>
      <c r="H170" s="254">
        <v>727</v>
      </c>
      <c r="I170" s="254">
        <v>819</v>
      </c>
      <c r="J170" s="254">
        <v>727</v>
      </c>
      <c r="K170" s="254">
        <v>819</v>
      </c>
      <c r="L170" s="254">
        <v>-92</v>
      </c>
      <c r="M170" s="254">
        <v>-11.233211233211234</v>
      </c>
    </row>
    <row r="171" spans="1:13" ht="25.05" customHeight="1" x14ac:dyDescent="0.3">
      <c r="A171" s="267" t="s">
        <v>179</v>
      </c>
      <c r="B171" s="268" t="s">
        <v>248</v>
      </c>
      <c r="C171" s="268">
        <v>0</v>
      </c>
      <c r="D171" s="268">
        <v>0</v>
      </c>
      <c r="E171" s="268" t="s">
        <v>20</v>
      </c>
      <c r="F171" s="267" t="s">
        <v>21</v>
      </c>
      <c r="G171" s="267" t="s">
        <v>22</v>
      </c>
      <c r="H171" s="269">
        <v>26617</v>
      </c>
      <c r="I171" s="269">
        <v>24384</v>
      </c>
      <c r="J171" s="269">
        <v>26617</v>
      </c>
      <c r="K171" s="269">
        <v>24384</v>
      </c>
      <c r="L171" s="269">
        <v>2233</v>
      </c>
      <c r="M171" s="269">
        <v>9.1576443569553803</v>
      </c>
    </row>
    <row r="172" spans="1:13" ht="25.05" customHeight="1" x14ac:dyDescent="0.3">
      <c r="A172" s="253" t="s">
        <v>299</v>
      </c>
      <c r="B172" s="252" t="s">
        <v>1714</v>
      </c>
      <c r="C172" s="252"/>
      <c r="D172" s="252" t="s">
        <v>258</v>
      </c>
      <c r="E172" s="252" t="s">
        <v>20</v>
      </c>
      <c r="F172" s="253" t="s">
        <v>21</v>
      </c>
      <c r="G172" s="253" t="s">
        <v>22</v>
      </c>
      <c r="H172" s="254">
        <v>3757</v>
      </c>
      <c r="I172" s="254">
        <v>3639</v>
      </c>
      <c r="J172" s="254">
        <v>3757</v>
      </c>
      <c r="K172" s="254">
        <v>3639</v>
      </c>
      <c r="L172" s="254">
        <v>118</v>
      </c>
      <c r="M172" s="254">
        <v>3.2426490794174221</v>
      </c>
    </row>
    <row r="173" spans="1:13" ht="25.05" customHeight="1" x14ac:dyDescent="0.3">
      <c r="A173" s="253" t="s">
        <v>299</v>
      </c>
      <c r="B173" s="252" t="s">
        <v>300</v>
      </c>
      <c r="C173" s="252"/>
      <c r="D173" s="252">
        <v>0</v>
      </c>
      <c r="E173" s="252" t="s">
        <v>20</v>
      </c>
      <c r="F173" s="253" t="s">
        <v>21</v>
      </c>
      <c r="G173" s="253" t="s">
        <v>22</v>
      </c>
      <c r="H173" s="254">
        <v>2735</v>
      </c>
      <c r="I173" s="254">
        <v>2799</v>
      </c>
      <c r="J173" s="254">
        <v>2735</v>
      </c>
      <c r="K173" s="254">
        <v>2799</v>
      </c>
      <c r="L173" s="254">
        <v>-64</v>
      </c>
      <c r="M173" s="254">
        <v>-2.2865309038942478</v>
      </c>
    </row>
    <row r="174" spans="1:13" ht="25.05" customHeight="1" x14ac:dyDescent="0.3">
      <c r="A174" s="253" t="s">
        <v>299</v>
      </c>
      <c r="B174" s="252" t="s">
        <v>301</v>
      </c>
      <c r="C174" s="252"/>
      <c r="D174" s="252">
        <v>0</v>
      </c>
      <c r="E174" s="252" t="s">
        <v>20</v>
      </c>
      <c r="F174" s="253" t="s">
        <v>21</v>
      </c>
      <c r="G174" s="253" t="s">
        <v>22</v>
      </c>
      <c r="H174" s="254">
        <v>2123</v>
      </c>
      <c r="I174" s="254">
        <v>2155</v>
      </c>
      <c r="J174" s="254">
        <v>2123</v>
      </c>
      <c r="K174" s="254">
        <v>2155</v>
      </c>
      <c r="L174" s="254">
        <v>-32</v>
      </c>
      <c r="M174" s="254">
        <v>-1.4849187935034802</v>
      </c>
    </row>
    <row r="175" spans="1:13" ht="25.05" customHeight="1" x14ac:dyDescent="0.3">
      <c r="A175" s="253" t="s">
        <v>299</v>
      </c>
      <c r="B175" s="252" t="s">
        <v>302</v>
      </c>
      <c r="C175" s="252"/>
      <c r="D175" s="252" t="s">
        <v>303</v>
      </c>
      <c r="E175" s="252" t="s">
        <v>20</v>
      </c>
      <c r="F175" s="253" t="s">
        <v>21</v>
      </c>
      <c r="G175" s="253" t="s">
        <v>22</v>
      </c>
      <c r="H175" s="254">
        <v>922</v>
      </c>
      <c r="I175" s="254">
        <v>872</v>
      </c>
      <c r="J175" s="254">
        <v>922</v>
      </c>
      <c r="K175" s="254">
        <v>872</v>
      </c>
      <c r="L175" s="254">
        <v>50</v>
      </c>
      <c r="M175" s="254">
        <v>5.7339449541284404</v>
      </c>
    </row>
    <row r="176" spans="1:13" ht="25.05" customHeight="1" x14ac:dyDescent="0.3">
      <c r="A176" s="253" t="s">
        <v>299</v>
      </c>
      <c r="B176" s="252" t="s">
        <v>304</v>
      </c>
      <c r="C176" s="252"/>
      <c r="D176" s="252">
        <v>0</v>
      </c>
      <c r="E176" s="252" t="s">
        <v>20</v>
      </c>
      <c r="F176" s="253" t="s">
        <v>21</v>
      </c>
      <c r="G176" s="253" t="s">
        <v>22</v>
      </c>
      <c r="H176" s="254">
        <v>888</v>
      </c>
      <c r="I176" s="254">
        <v>877</v>
      </c>
      <c r="J176" s="254">
        <v>888</v>
      </c>
      <c r="K176" s="254">
        <v>877</v>
      </c>
      <c r="L176" s="254">
        <v>11</v>
      </c>
      <c r="M176" s="254">
        <v>1.2542759407069555</v>
      </c>
    </row>
    <row r="177" spans="1:13" ht="25.05" customHeight="1" x14ac:dyDescent="0.3">
      <c r="A177" s="253" t="s">
        <v>299</v>
      </c>
      <c r="B177" s="252" t="s">
        <v>305</v>
      </c>
      <c r="C177" s="252"/>
      <c r="D177" s="252">
        <v>0</v>
      </c>
      <c r="E177" s="252" t="s">
        <v>20</v>
      </c>
      <c r="F177" s="253" t="s">
        <v>21</v>
      </c>
      <c r="G177" s="253" t="s">
        <v>22</v>
      </c>
      <c r="H177" s="254">
        <v>740</v>
      </c>
      <c r="I177" s="254">
        <v>535</v>
      </c>
      <c r="J177" s="254">
        <v>740</v>
      </c>
      <c r="K177" s="254">
        <v>535</v>
      </c>
      <c r="L177" s="254">
        <v>205</v>
      </c>
      <c r="M177" s="254">
        <v>38.31775700934579</v>
      </c>
    </row>
    <row r="178" spans="1:13" ht="25.05" customHeight="1" x14ac:dyDescent="0.3">
      <c r="A178" s="253" t="s">
        <v>299</v>
      </c>
      <c r="B178" s="252" t="s">
        <v>23</v>
      </c>
      <c r="C178" s="252"/>
      <c r="D178" s="252">
        <v>0</v>
      </c>
      <c r="E178" s="252" t="s">
        <v>20</v>
      </c>
      <c r="F178" s="253" t="s">
        <v>21</v>
      </c>
      <c r="G178" s="253" t="s">
        <v>22</v>
      </c>
      <c r="H178" s="254">
        <v>508</v>
      </c>
      <c r="I178" s="254">
        <v>485</v>
      </c>
      <c r="J178" s="254">
        <v>508</v>
      </c>
      <c r="K178" s="254">
        <v>485</v>
      </c>
      <c r="L178" s="254">
        <v>23</v>
      </c>
      <c r="M178" s="254">
        <v>4.7422680412371134</v>
      </c>
    </row>
    <row r="179" spans="1:13" ht="25.05" customHeight="1" x14ac:dyDescent="0.3">
      <c r="A179" s="267" t="s">
        <v>299</v>
      </c>
      <c r="B179" s="268" t="s">
        <v>248</v>
      </c>
      <c r="C179" s="268"/>
      <c r="D179" s="268">
        <v>0</v>
      </c>
      <c r="E179" s="268" t="s">
        <v>20</v>
      </c>
      <c r="F179" s="267" t="s">
        <v>21</v>
      </c>
      <c r="G179" s="267" t="s">
        <v>22</v>
      </c>
      <c r="H179" s="269">
        <v>11673</v>
      </c>
      <c r="I179" s="269">
        <v>11362</v>
      </c>
      <c r="J179" s="269">
        <v>11673</v>
      </c>
      <c r="K179" s="269">
        <v>11362</v>
      </c>
      <c r="L179" s="269">
        <v>311</v>
      </c>
      <c r="M179" s="269">
        <v>2.7371941559584578</v>
      </c>
    </row>
    <row r="180" spans="1:13" ht="25.05" customHeight="1" x14ac:dyDescent="0.3">
      <c r="A180" s="253" t="s">
        <v>306</v>
      </c>
      <c r="B180" s="252" t="s">
        <v>1711</v>
      </c>
      <c r="C180" s="252" t="s">
        <v>1712</v>
      </c>
      <c r="D180" s="252" t="s">
        <v>239</v>
      </c>
      <c r="E180" s="252" t="s">
        <v>239</v>
      </c>
      <c r="F180" s="253" t="s">
        <v>307</v>
      </c>
      <c r="G180" s="253" t="s">
        <v>22</v>
      </c>
      <c r="H180" s="254">
        <v>628</v>
      </c>
      <c r="I180" s="254">
        <v>0</v>
      </c>
      <c r="J180" s="254">
        <v>100.55912799999999</v>
      </c>
      <c r="K180" s="254">
        <v>0</v>
      </c>
      <c r="L180" s="254">
        <v>100.55912799999999</v>
      </c>
      <c r="M180" s="254" t="s">
        <v>308</v>
      </c>
    </row>
    <row r="181" spans="1:13" ht="25.05" customHeight="1" x14ac:dyDescent="0.3">
      <c r="A181" s="253" t="s">
        <v>306</v>
      </c>
      <c r="B181" s="252" t="s">
        <v>309</v>
      </c>
      <c r="C181" s="252" t="s">
        <v>310</v>
      </c>
      <c r="D181" s="252" t="s">
        <v>239</v>
      </c>
      <c r="E181" s="252" t="s">
        <v>239</v>
      </c>
      <c r="F181" s="253" t="s">
        <v>307</v>
      </c>
      <c r="G181" s="253" t="s">
        <v>22</v>
      </c>
      <c r="H181" s="254">
        <v>455</v>
      </c>
      <c r="I181" s="254">
        <v>0</v>
      </c>
      <c r="J181" s="254">
        <v>72.85732999999999</v>
      </c>
      <c r="K181" s="254">
        <v>0</v>
      </c>
      <c r="L181" s="254">
        <v>72.85732999999999</v>
      </c>
      <c r="M181" s="254" t="s">
        <v>308</v>
      </c>
    </row>
    <row r="182" spans="1:13" ht="25.05" customHeight="1" x14ac:dyDescent="0.3">
      <c r="A182" s="253" t="s">
        <v>306</v>
      </c>
      <c r="B182" s="252" t="s">
        <v>311</v>
      </c>
      <c r="C182" s="252" t="s">
        <v>312</v>
      </c>
      <c r="D182" s="252" t="s">
        <v>239</v>
      </c>
      <c r="E182" s="252" t="s">
        <v>239</v>
      </c>
      <c r="F182" s="253" t="s">
        <v>307</v>
      </c>
      <c r="G182" s="253" t="s">
        <v>22</v>
      </c>
      <c r="H182" s="254">
        <v>541</v>
      </c>
      <c r="I182" s="254">
        <v>324</v>
      </c>
      <c r="J182" s="254">
        <v>86.628165999999993</v>
      </c>
      <c r="K182" s="254">
        <v>51.880823999999997</v>
      </c>
      <c r="L182" s="254">
        <v>34.747341999999996</v>
      </c>
      <c r="M182" s="254">
        <v>66.975308641975303</v>
      </c>
    </row>
    <row r="183" spans="1:13" ht="25.05" customHeight="1" x14ac:dyDescent="0.3">
      <c r="A183" s="253" t="s">
        <v>306</v>
      </c>
      <c r="B183" s="252" t="s">
        <v>313</v>
      </c>
      <c r="C183" s="252">
        <v>0</v>
      </c>
      <c r="D183" s="252">
        <v>0</v>
      </c>
      <c r="E183" s="252" t="s">
        <v>20</v>
      </c>
      <c r="F183" s="253" t="s">
        <v>307</v>
      </c>
      <c r="G183" s="253" t="s">
        <v>22</v>
      </c>
      <c r="H183" s="254">
        <v>67</v>
      </c>
      <c r="I183" s="254">
        <v>0</v>
      </c>
      <c r="J183" s="254">
        <v>10.728441999999999</v>
      </c>
      <c r="K183" s="254">
        <v>0</v>
      </c>
      <c r="L183" s="254">
        <v>10.728441999999999</v>
      </c>
      <c r="M183" s="254">
        <v>100</v>
      </c>
    </row>
    <row r="184" spans="1:13" ht="25.05" customHeight="1" x14ac:dyDescent="0.3">
      <c r="A184" s="253" t="s">
        <v>306</v>
      </c>
      <c r="B184" s="252" t="s">
        <v>314</v>
      </c>
      <c r="C184" s="252">
        <v>0</v>
      </c>
      <c r="D184" s="252">
        <v>0</v>
      </c>
      <c r="E184" s="252" t="s">
        <v>20</v>
      </c>
      <c r="F184" s="253" t="s">
        <v>307</v>
      </c>
      <c r="G184" s="253" t="s">
        <v>22</v>
      </c>
      <c r="H184" s="254">
        <v>162</v>
      </c>
      <c r="I184" s="254">
        <v>338</v>
      </c>
      <c r="J184" s="254">
        <v>25.940411999999998</v>
      </c>
      <c r="K184" s="254">
        <v>54.122587999999993</v>
      </c>
      <c r="L184" s="254">
        <v>-28.182175999999995</v>
      </c>
      <c r="M184" s="254">
        <v>-52.071005917159766</v>
      </c>
    </row>
    <row r="185" spans="1:13" ht="25.05" customHeight="1" x14ac:dyDescent="0.3">
      <c r="A185" s="267" t="s">
        <v>306</v>
      </c>
      <c r="B185" s="268" t="s">
        <v>101</v>
      </c>
      <c r="C185" s="268">
        <v>0</v>
      </c>
      <c r="D185" s="268">
        <v>0</v>
      </c>
      <c r="E185" s="268" t="s">
        <v>20</v>
      </c>
      <c r="F185" s="267" t="s">
        <v>307</v>
      </c>
      <c r="G185" s="267" t="s">
        <v>22</v>
      </c>
      <c r="H185" s="269">
        <v>1852</v>
      </c>
      <c r="I185" s="269">
        <v>662</v>
      </c>
      <c r="J185" s="269">
        <v>296.55335199999996</v>
      </c>
      <c r="K185" s="269">
        <v>106.003412</v>
      </c>
      <c r="L185" s="269">
        <v>190.54993999999996</v>
      </c>
      <c r="M185" s="269">
        <v>179.75830815709969</v>
      </c>
    </row>
    <row r="186" spans="1:13" ht="25.05" customHeight="1" x14ac:dyDescent="0.3">
      <c r="A186" s="253" t="s">
        <v>315</v>
      </c>
      <c r="B186" s="252" t="s">
        <v>879</v>
      </c>
      <c r="C186" s="252" t="s">
        <v>880</v>
      </c>
      <c r="D186" s="252" t="s">
        <v>129</v>
      </c>
      <c r="E186" s="252" t="s">
        <v>46</v>
      </c>
      <c r="F186" s="253" t="s">
        <v>316</v>
      </c>
      <c r="G186" s="253" t="s">
        <v>22</v>
      </c>
      <c r="H186" s="254">
        <v>4515</v>
      </c>
      <c r="I186" s="254">
        <v>4126</v>
      </c>
      <c r="J186" s="254">
        <v>5461.3214250000001</v>
      </c>
      <c r="K186" s="254">
        <v>4990.7889699999996</v>
      </c>
      <c r="L186" s="254">
        <v>470.53245500000048</v>
      </c>
      <c r="M186" s="254">
        <v>9.4280174503150853</v>
      </c>
    </row>
    <row r="187" spans="1:13" ht="25.05" customHeight="1" x14ac:dyDescent="0.3">
      <c r="A187" s="253" t="s">
        <v>315</v>
      </c>
      <c r="B187" s="252" t="s">
        <v>317</v>
      </c>
      <c r="C187" s="252" t="s">
        <v>318</v>
      </c>
      <c r="D187" s="252" t="s">
        <v>72</v>
      </c>
      <c r="E187" s="252" t="s">
        <v>40</v>
      </c>
      <c r="F187" s="253" t="s">
        <v>316</v>
      </c>
      <c r="G187" s="253" t="s">
        <v>22</v>
      </c>
      <c r="H187" s="254">
        <v>2468</v>
      </c>
      <c r="I187" s="254">
        <v>2494</v>
      </c>
      <c r="J187" s="254">
        <v>2985.2804599999999</v>
      </c>
      <c r="K187" s="254">
        <v>3016.72993</v>
      </c>
      <c r="L187" s="254">
        <v>-31.449470000000019</v>
      </c>
      <c r="M187" s="254">
        <v>-1.0425020048115483</v>
      </c>
    </row>
    <row r="188" spans="1:13" ht="25.05" customHeight="1" x14ac:dyDescent="0.3">
      <c r="A188" s="253" t="s">
        <v>315</v>
      </c>
      <c r="B188" s="252" t="s">
        <v>319</v>
      </c>
      <c r="C188" s="252" t="s">
        <v>320</v>
      </c>
      <c r="D188" s="252" t="s">
        <v>81</v>
      </c>
      <c r="E188" s="252" t="s">
        <v>46</v>
      </c>
      <c r="F188" s="253" t="s">
        <v>316</v>
      </c>
      <c r="G188" s="253" t="s">
        <v>22</v>
      </c>
      <c r="H188" s="254">
        <v>1081</v>
      </c>
      <c r="I188" s="254">
        <v>1223</v>
      </c>
      <c r="J188" s="254">
        <v>1307.572195</v>
      </c>
      <c r="K188" s="254">
        <v>1479.334685</v>
      </c>
      <c r="L188" s="254">
        <v>-171.76249000000007</v>
      </c>
      <c r="M188" s="254">
        <v>-11.610793131643504</v>
      </c>
    </row>
    <row r="189" spans="1:13" ht="25.05" customHeight="1" x14ac:dyDescent="0.3">
      <c r="A189" s="253" t="s">
        <v>315</v>
      </c>
      <c r="B189" s="252" t="s">
        <v>321</v>
      </c>
      <c r="C189" s="252" t="s">
        <v>322</v>
      </c>
      <c r="D189" s="252" t="s">
        <v>92</v>
      </c>
      <c r="E189" s="252" t="s">
        <v>40</v>
      </c>
      <c r="F189" s="253" t="s">
        <v>316</v>
      </c>
      <c r="G189" s="253" t="s">
        <v>22</v>
      </c>
      <c r="H189" s="254">
        <v>851</v>
      </c>
      <c r="I189" s="254">
        <v>882</v>
      </c>
      <c r="J189" s="254">
        <v>1029.3653449999999</v>
      </c>
      <c r="K189" s="254">
        <v>1066.8627899999999</v>
      </c>
      <c r="L189" s="254">
        <v>-37.497444999999971</v>
      </c>
      <c r="M189" s="254">
        <v>-3.5147392290249408</v>
      </c>
    </row>
    <row r="190" spans="1:13" ht="25.05" customHeight="1" x14ac:dyDescent="0.3">
      <c r="A190" s="253" t="s">
        <v>315</v>
      </c>
      <c r="B190" s="252" t="s">
        <v>323</v>
      </c>
      <c r="C190" s="252" t="s">
        <v>324</v>
      </c>
      <c r="D190" s="252" t="s">
        <v>81</v>
      </c>
      <c r="E190" s="252" t="s">
        <v>46</v>
      </c>
      <c r="F190" s="253" t="s">
        <v>316</v>
      </c>
      <c r="G190" s="253" t="s">
        <v>22</v>
      </c>
      <c r="H190" s="254">
        <v>670</v>
      </c>
      <c r="I190" s="254">
        <v>681</v>
      </c>
      <c r="J190" s="254">
        <v>810.42864999999995</v>
      </c>
      <c r="K190" s="254">
        <v>823.734195</v>
      </c>
      <c r="L190" s="254">
        <v>-13.305545000000052</v>
      </c>
      <c r="M190" s="254">
        <v>-1.6152716593245291</v>
      </c>
    </row>
    <row r="191" spans="1:13" ht="25.05" customHeight="1" x14ac:dyDescent="0.3">
      <c r="A191" s="253" t="s">
        <v>315</v>
      </c>
      <c r="B191" s="252" t="s">
        <v>325</v>
      </c>
      <c r="C191" s="252" t="s">
        <v>326</v>
      </c>
      <c r="D191" s="252" t="s">
        <v>49</v>
      </c>
      <c r="E191" s="252" t="s">
        <v>46</v>
      </c>
      <c r="F191" s="253" t="s">
        <v>316</v>
      </c>
      <c r="G191" s="253" t="s">
        <v>22</v>
      </c>
      <c r="H191" s="254">
        <v>639</v>
      </c>
      <c r="I191" s="254">
        <v>706</v>
      </c>
      <c r="J191" s="254">
        <v>772.93120499999998</v>
      </c>
      <c r="K191" s="254">
        <v>853.97406999999998</v>
      </c>
      <c r="L191" s="254">
        <v>-81.042865000000006</v>
      </c>
      <c r="M191" s="254">
        <v>-9.4900849858356953</v>
      </c>
    </row>
    <row r="192" spans="1:13" ht="25.05" customHeight="1" x14ac:dyDescent="0.3">
      <c r="A192" s="253" t="s">
        <v>315</v>
      </c>
      <c r="B192" s="252" t="s">
        <v>327</v>
      </c>
      <c r="C192" s="252" t="s">
        <v>328</v>
      </c>
      <c r="D192" s="252" t="s">
        <v>129</v>
      </c>
      <c r="E192" s="252" t="s">
        <v>46</v>
      </c>
      <c r="F192" s="253" t="s">
        <v>316</v>
      </c>
      <c r="G192" s="253" t="s">
        <v>22</v>
      </c>
      <c r="H192" s="254">
        <v>639</v>
      </c>
      <c r="I192" s="254">
        <v>579</v>
      </c>
      <c r="J192" s="254">
        <v>772.93120499999998</v>
      </c>
      <c r="K192" s="254">
        <v>700.35550499999999</v>
      </c>
      <c r="L192" s="254">
        <v>72.575699999999983</v>
      </c>
      <c r="M192" s="254">
        <v>10.362694300518132</v>
      </c>
    </row>
    <row r="193" spans="1:13" ht="25.05" customHeight="1" x14ac:dyDescent="0.3">
      <c r="A193" s="253" t="s">
        <v>315</v>
      </c>
      <c r="B193" s="252" t="s">
        <v>329</v>
      </c>
      <c r="C193" s="252" t="s">
        <v>330</v>
      </c>
      <c r="D193" s="252" t="s">
        <v>129</v>
      </c>
      <c r="E193" s="252" t="s">
        <v>46</v>
      </c>
      <c r="F193" s="253" t="s">
        <v>316</v>
      </c>
      <c r="G193" s="253" t="s">
        <v>22</v>
      </c>
      <c r="H193" s="254">
        <v>628</v>
      </c>
      <c r="I193" s="254">
        <v>418</v>
      </c>
      <c r="J193" s="254">
        <v>759.62566000000004</v>
      </c>
      <c r="K193" s="254">
        <v>505.61070999999998</v>
      </c>
      <c r="L193" s="254">
        <v>254.01495000000006</v>
      </c>
      <c r="M193" s="254">
        <v>50.239234449760787</v>
      </c>
    </row>
    <row r="194" spans="1:13" ht="25.05" customHeight="1" x14ac:dyDescent="0.3">
      <c r="A194" s="253" t="s">
        <v>315</v>
      </c>
      <c r="B194" s="252" t="s">
        <v>331</v>
      </c>
      <c r="C194" s="252" t="s">
        <v>332</v>
      </c>
      <c r="D194" s="252" t="s">
        <v>129</v>
      </c>
      <c r="E194" s="252" t="s">
        <v>46</v>
      </c>
      <c r="F194" s="253" t="s">
        <v>316</v>
      </c>
      <c r="G194" s="253" t="s">
        <v>22</v>
      </c>
      <c r="H194" s="254">
        <v>613</v>
      </c>
      <c r="I194" s="254">
        <v>664</v>
      </c>
      <c r="J194" s="254">
        <v>741.48173499999996</v>
      </c>
      <c r="K194" s="254">
        <v>803.17107999999996</v>
      </c>
      <c r="L194" s="254">
        <v>-61.689345000000003</v>
      </c>
      <c r="M194" s="254">
        <v>-7.6807228915662664</v>
      </c>
    </row>
    <row r="195" spans="1:13" ht="25.05" customHeight="1" x14ac:dyDescent="0.3">
      <c r="A195" s="253" t="s">
        <v>315</v>
      </c>
      <c r="B195" s="252" t="s">
        <v>333</v>
      </c>
      <c r="C195" s="252" t="s">
        <v>334</v>
      </c>
      <c r="D195" s="252" t="s">
        <v>49</v>
      </c>
      <c r="E195" s="252" t="s">
        <v>46</v>
      </c>
      <c r="F195" s="253" t="s">
        <v>316</v>
      </c>
      <c r="G195" s="253" t="s">
        <v>22</v>
      </c>
      <c r="H195" s="254">
        <v>475</v>
      </c>
      <c r="I195" s="254">
        <v>411</v>
      </c>
      <c r="J195" s="254">
        <v>574.55762500000003</v>
      </c>
      <c r="K195" s="254">
        <v>497.14354500000002</v>
      </c>
      <c r="L195" s="254">
        <v>77.414080000000013</v>
      </c>
      <c r="M195" s="254">
        <v>15.571776155717764</v>
      </c>
    </row>
    <row r="196" spans="1:13" ht="25.05" customHeight="1" x14ac:dyDescent="0.3">
      <c r="A196" s="253" t="s">
        <v>315</v>
      </c>
      <c r="B196" s="252" t="s">
        <v>335</v>
      </c>
      <c r="C196" s="252" t="s">
        <v>336</v>
      </c>
      <c r="D196" s="252" t="s">
        <v>62</v>
      </c>
      <c r="E196" s="252" t="s">
        <v>40</v>
      </c>
      <c r="F196" s="253" t="s">
        <v>316</v>
      </c>
      <c r="G196" s="253" t="s">
        <v>22</v>
      </c>
      <c r="H196" s="254">
        <v>404</v>
      </c>
      <c r="I196" s="254">
        <v>457</v>
      </c>
      <c r="J196" s="254">
        <v>488.67637999999999</v>
      </c>
      <c r="K196" s="254">
        <v>552.78491499999996</v>
      </c>
      <c r="L196" s="254">
        <v>-64.108534999999961</v>
      </c>
      <c r="M196" s="254">
        <v>-11.597374179431066</v>
      </c>
    </row>
    <row r="197" spans="1:13" ht="25.05" customHeight="1" x14ac:dyDescent="0.3">
      <c r="A197" s="253" t="s">
        <v>315</v>
      </c>
      <c r="B197" s="252" t="s">
        <v>337</v>
      </c>
      <c r="C197" s="252">
        <v>0</v>
      </c>
      <c r="D197" s="252">
        <v>0</v>
      </c>
      <c r="E197" s="252" t="s">
        <v>20</v>
      </c>
      <c r="F197" s="253" t="s">
        <v>316</v>
      </c>
      <c r="G197" s="253" t="s">
        <v>22</v>
      </c>
      <c r="H197" s="254">
        <v>396</v>
      </c>
      <c r="I197" s="254">
        <v>407</v>
      </c>
      <c r="J197" s="254">
        <v>478.99961999999999</v>
      </c>
      <c r="K197" s="254">
        <v>492.30516499999999</v>
      </c>
      <c r="L197" s="254">
        <v>-13.305544999999995</v>
      </c>
      <c r="M197" s="254">
        <v>-2.7027027027027017</v>
      </c>
    </row>
    <row r="198" spans="1:13" ht="25.05" customHeight="1" x14ac:dyDescent="0.3">
      <c r="A198" s="253" t="s">
        <v>315</v>
      </c>
      <c r="B198" s="252" t="s">
        <v>338</v>
      </c>
      <c r="C198" s="252" t="s">
        <v>339</v>
      </c>
      <c r="D198" s="252" t="s">
        <v>129</v>
      </c>
      <c r="E198" s="252" t="s">
        <v>46</v>
      </c>
      <c r="F198" s="253" t="s">
        <v>316</v>
      </c>
      <c r="G198" s="253" t="s">
        <v>22</v>
      </c>
      <c r="H198" s="254">
        <v>385</v>
      </c>
      <c r="I198" s="254">
        <v>433</v>
      </c>
      <c r="J198" s="254">
        <v>465.694075</v>
      </c>
      <c r="K198" s="254">
        <v>523.75463500000001</v>
      </c>
      <c r="L198" s="254">
        <v>-58.060560000000009</v>
      </c>
      <c r="M198" s="254">
        <v>-11.085450346420325</v>
      </c>
    </row>
    <row r="199" spans="1:13" ht="25.05" customHeight="1" x14ac:dyDescent="0.3">
      <c r="A199" s="253" t="s">
        <v>315</v>
      </c>
      <c r="B199" s="252" t="s">
        <v>340</v>
      </c>
      <c r="C199" s="252" t="s">
        <v>341</v>
      </c>
      <c r="D199" s="252" t="s">
        <v>30</v>
      </c>
      <c r="E199" s="252" t="s">
        <v>46</v>
      </c>
      <c r="F199" s="253" t="s">
        <v>316</v>
      </c>
      <c r="G199" s="253" t="s">
        <v>22</v>
      </c>
      <c r="H199" s="254">
        <v>303</v>
      </c>
      <c r="I199" s="254">
        <v>340</v>
      </c>
      <c r="J199" s="254">
        <v>366.50728499999997</v>
      </c>
      <c r="K199" s="254">
        <v>411.26229999999998</v>
      </c>
      <c r="L199" s="254">
        <v>-44.755015000000014</v>
      </c>
      <c r="M199" s="254">
        <v>-10.882352941176475</v>
      </c>
    </row>
    <row r="200" spans="1:13" ht="25.05" customHeight="1" x14ac:dyDescent="0.3">
      <c r="A200" s="253" t="s">
        <v>315</v>
      </c>
      <c r="B200" s="252" t="s">
        <v>342</v>
      </c>
      <c r="C200" s="252" t="s">
        <v>343</v>
      </c>
      <c r="D200" s="252" t="s">
        <v>49</v>
      </c>
      <c r="E200" s="252" t="s">
        <v>46</v>
      </c>
      <c r="F200" s="253" t="s">
        <v>316</v>
      </c>
      <c r="G200" s="253" t="s">
        <v>22</v>
      </c>
      <c r="H200" s="254">
        <v>262</v>
      </c>
      <c r="I200" s="254">
        <v>303</v>
      </c>
      <c r="J200" s="254">
        <v>316.91388999999998</v>
      </c>
      <c r="K200" s="254">
        <v>366.50728499999997</v>
      </c>
      <c r="L200" s="254">
        <v>-49.593394999999987</v>
      </c>
      <c r="M200" s="254">
        <v>-13.531353135313529</v>
      </c>
    </row>
    <row r="201" spans="1:13" ht="25.05" customHeight="1" x14ac:dyDescent="0.3">
      <c r="A201" s="253" t="s">
        <v>315</v>
      </c>
      <c r="B201" s="252" t="s">
        <v>344</v>
      </c>
      <c r="C201" s="252">
        <v>0</v>
      </c>
      <c r="D201" s="252">
        <v>0</v>
      </c>
      <c r="E201" s="252" t="s">
        <v>20</v>
      </c>
      <c r="F201" s="253" t="s">
        <v>316</v>
      </c>
      <c r="G201" s="253" t="s">
        <v>22</v>
      </c>
      <c r="H201" s="254">
        <v>14329</v>
      </c>
      <c r="I201" s="254">
        <v>14124</v>
      </c>
      <c r="J201" s="254">
        <v>17332.286755000001</v>
      </c>
      <c r="K201" s="254">
        <v>17084.319779999998</v>
      </c>
      <c r="L201" s="254">
        <v>247.966975000003</v>
      </c>
      <c r="M201" s="254">
        <v>1.4514301897479644</v>
      </c>
    </row>
    <row r="202" spans="1:13" ht="25.05" customHeight="1" x14ac:dyDescent="0.3">
      <c r="A202" s="253" t="s">
        <v>315</v>
      </c>
      <c r="B202" s="252" t="s">
        <v>177</v>
      </c>
      <c r="C202" s="252">
        <v>0</v>
      </c>
      <c r="D202" s="252">
        <v>0</v>
      </c>
      <c r="E202" s="252" t="s">
        <v>20</v>
      </c>
      <c r="F202" s="253" t="s">
        <v>316</v>
      </c>
      <c r="G202" s="253" t="s">
        <v>22</v>
      </c>
      <c r="H202" s="254">
        <v>2914</v>
      </c>
      <c r="I202" s="254">
        <v>3838</v>
      </c>
      <c r="J202" s="254">
        <v>3524.75983</v>
      </c>
      <c r="K202" s="254">
        <v>4642.4256100000002</v>
      </c>
      <c r="L202" s="254">
        <v>-1117.6657800000003</v>
      </c>
      <c r="M202" s="254">
        <v>-24.07503908285566</v>
      </c>
    </row>
    <row r="203" spans="1:13" ht="25.05" customHeight="1" x14ac:dyDescent="0.3">
      <c r="A203" s="253" t="s">
        <v>315</v>
      </c>
      <c r="B203" s="252" t="s">
        <v>164</v>
      </c>
      <c r="C203" s="252">
        <v>0</v>
      </c>
      <c r="D203" s="252">
        <v>0</v>
      </c>
      <c r="E203" s="252" t="s">
        <v>20</v>
      </c>
      <c r="F203" s="253" t="s">
        <v>316</v>
      </c>
      <c r="G203" s="253" t="s">
        <v>22</v>
      </c>
      <c r="H203" s="254">
        <v>17243</v>
      </c>
      <c r="I203" s="254">
        <v>17962</v>
      </c>
      <c r="J203" s="254">
        <v>20857.046585</v>
      </c>
      <c r="K203" s="254">
        <v>21726.74539</v>
      </c>
      <c r="L203" s="254">
        <v>-869.69880499999999</v>
      </c>
      <c r="M203" s="254">
        <v>-4.0028950005567312</v>
      </c>
    </row>
    <row r="204" spans="1:13" ht="25.05" customHeight="1" x14ac:dyDescent="0.3">
      <c r="A204" s="253" t="s">
        <v>315</v>
      </c>
      <c r="B204" s="252" t="s">
        <v>345</v>
      </c>
      <c r="C204" s="252">
        <v>0</v>
      </c>
      <c r="D204" s="252">
        <v>0</v>
      </c>
      <c r="E204" s="252" t="s">
        <v>20</v>
      </c>
      <c r="F204" s="253" t="s">
        <v>316</v>
      </c>
      <c r="G204" s="253" t="s">
        <v>22</v>
      </c>
      <c r="H204" s="254">
        <v>5054</v>
      </c>
      <c r="I204" s="254">
        <v>5462</v>
      </c>
      <c r="J204" s="254">
        <v>6113.29313</v>
      </c>
      <c r="K204" s="254">
        <v>6606.80789</v>
      </c>
      <c r="L204" s="254">
        <v>-493.51476000000002</v>
      </c>
      <c r="M204" s="254">
        <v>-7.4697912852435007</v>
      </c>
    </row>
    <row r="205" spans="1:13" ht="25.05" customHeight="1" x14ac:dyDescent="0.3">
      <c r="A205" s="253" t="s">
        <v>315</v>
      </c>
      <c r="B205" s="252" t="s">
        <v>346</v>
      </c>
      <c r="C205" s="252">
        <v>0</v>
      </c>
      <c r="D205" s="252">
        <v>0</v>
      </c>
      <c r="E205" s="252" t="s">
        <v>20</v>
      </c>
      <c r="F205" s="253" t="s">
        <v>316</v>
      </c>
      <c r="G205" s="253" t="s">
        <v>22</v>
      </c>
      <c r="H205" s="254">
        <v>18840</v>
      </c>
      <c r="I205" s="254">
        <v>19832</v>
      </c>
      <c r="J205" s="254">
        <v>22788.769799999998</v>
      </c>
      <c r="K205" s="254">
        <v>23988.688040000001</v>
      </c>
      <c r="L205" s="254">
        <v>-1199.9182400000027</v>
      </c>
      <c r="M205" s="254">
        <v>-5.0020169423154615</v>
      </c>
    </row>
    <row r="206" spans="1:13" ht="25.05" customHeight="1" x14ac:dyDescent="0.3">
      <c r="A206" s="253" t="s">
        <v>315</v>
      </c>
      <c r="B206" s="252" t="s">
        <v>347</v>
      </c>
      <c r="C206" s="252">
        <v>0</v>
      </c>
      <c r="D206" s="252">
        <v>0</v>
      </c>
      <c r="E206" s="252" t="s">
        <v>20</v>
      </c>
      <c r="F206" s="253" t="s">
        <v>316</v>
      </c>
      <c r="G206" s="253" t="s">
        <v>22</v>
      </c>
      <c r="H206" s="254">
        <v>1150</v>
      </c>
      <c r="I206" s="254">
        <v>1571</v>
      </c>
      <c r="J206" s="254">
        <v>1391.0342499999999</v>
      </c>
      <c r="K206" s="254">
        <v>1900.273745</v>
      </c>
      <c r="L206" s="254">
        <v>-509.23949500000003</v>
      </c>
      <c r="M206" s="254">
        <v>-26.798217695735204</v>
      </c>
    </row>
    <row r="207" spans="1:13" ht="25.05" customHeight="1" x14ac:dyDescent="0.3">
      <c r="A207" s="267" t="s">
        <v>315</v>
      </c>
      <c r="B207" s="268" t="s">
        <v>348</v>
      </c>
      <c r="C207" s="268">
        <v>0</v>
      </c>
      <c r="D207" s="268">
        <v>0</v>
      </c>
      <c r="E207" s="268" t="s">
        <v>20</v>
      </c>
      <c r="F207" s="267" t="s">
        <v>316</v>
      </c>
      <c r="G207" s="267" t="s">
        <v>22</v>
      </c>
      <c r="H207" s="269">
        <v>41400</v>
      </c>
      <c r="I207" s="269">
        <v>43545</v>
      </c>
      <c r="J207" s="269">
        <v>50077.233</v>
      </c>
      <c r="K207" s="269">
        <v>52671.814274999997</v>
      </c>
      <c r="L207" s="269">
        <v>-2594.5812749999968</v>
      </c>
      <c r="M207" s="269">
        <v>-4.9259386841198705</v>
      </c>
    </row>
    <row r="208" spans="1:13" ht="25.05" customHeight="1" x14ac:dyDescent="0.3">
      <c r="A208" s="253" t="s">
        <v>349</v>
      </c>
      <c r="B208" s="252" t="s">
        <v>1717</v>
      </c>
      <c r="C208" s="252" t="s">
        <v>1718</v>
      </c>
      <c r="D208" s="252" t="s">
        <v>62</v>
      </c>
      <c r="E208" s="252" t="s">
        <v>46</v>
      </c>
      <c r="F208" s="253" t="s">
        <v>21</v>
      </c>
      <c r="G208" s="253" t="s">
        <v>22</v>
      </c>
      <c r="H208" s="254">
        <v>3841.1</v>
      </c>
      <c r="I208" s="254">
        <v>4432.7</v>
      </c>
      <c r="J208" s="254">
        <v>3841.1</v>
      </c>
      <c r="K208" s="254">
        <v>4432.7</v>
      </c>
      <c r="L208" s="254">
        <v>-591.59999999999991</v>
      </c>
      <c r="M208" s="254">
        <v>-13.346267511900194</v>
      </c>
    </row>
    <row r="209" spans="1:13" ht="25.05" customHeight="1" x14ac:dyDescent="0.3">
      <c r="A209" s="253" t="s">
        <v>349</v>
      </c>
      <c r="B209" s="252" t="s">
        <v>350</v>
      </c>
      <c r="C209" s="252" t="s">
        <v>351</v>
      </c>
      <c r="D209" s="252" t="s">
        <v>62</v>
      </c>
      <c r="E209" s="252" t="s">
        <v>46</v>
      </c>
      <c r="F209" s="253" t="s">
        <v>21</v>
      </c>
      <c r="G209" s="253" t="s">
        <v>22</v>
      </c>
      <c r="H209" s="254">
        <v>64.3</v>
      </c>
      <c r="I209" s="254">
        <v>5.5</v>
      </c>
      <c r="J209" s="254">
        <v>64.3</v>
      </c>
      <c r="K209" s="254">
        <v>5.5</v>
      </c>
      <c r="L209" s="254">
        <v>58.8</v>
      </c>
      <c r="M209" s="254">
        <v>1069.090909090909</v>
      </c>
    </row>
    <row r="210" spans="1:13" ht="25.05" customHeight="1" x14ac:dyDescent="0.3">
      <c r="A210" s="253" t="s">
        <v>349</v>
      </c>
      <c r="B210" s="252" t="s">
        <v>352</v>
      </c>
      <c r="C210" s="252" t="s">
        <v>351</v>
      </c>
      <c r="D210" s="252" t="s">
        <v>62</v>
      </c>
      <c r="E210" s="252" t="s">
        <v>46</v>
      </c>
      <c r="F210" s="253" t="s">
        <v>21</v>
      </c>
      <c r="G210" s="253" t="s">
        <v>22</v>
      </c>
      <c r="H210" s="254">
        <v>3905.4</v>
      </c>
      <c r="I210" s="254">
        <v>4438.2</v>
      </c>
      <c r="J210" s="254">
        <v>3905.4</v>
      </c>
      <c r="K210" s="254">
        <v>4438.2</v>
      </c>
      <c r="L210" s="254">
        <v>-532.79999999999973</v>
      </c>
      <c r="M210" s="254">
        <v>-12.004866837907253</v>
      </c>
    </row>
    <row r="211" spans="1:13" ht="25.05" customHeight="1" x14ac:dyDescent="0.3">
      <c r="A211" s="253" t="s">
        <v>349</v>
      </c>
      <c r="B211" s="252" t="s">
        <v>353</v>
      </c>
      <c r="C211" s="252" t="s">
        <v>354</v>
      </c>
      <c r="D211" s="252" t="s">
        <v>62</v>
      </c>
      <c r="E211" s="252" t="s">
        <v>40</v>
      </c>
      <c r="F211" s="253" t="s">
        <v>21</v>
      </c>
      <c r="G211" s="253" t="s">
        <v>22</v>
      </c>
      <c r="H211" s="254">
        <v>1491.9</v>
      </c>
      <c r="I211" s="254">
        <v>1665.9</v>
      </c>
      <c r="J211" s="254">
        <v>1491.9</v>
      </c>
      <c r="K211" s="254">
        <v>1665.9</v>
      </c>
      <c r="L211" s="254">
        <v>-174</v>
      </c>
      <c r="M211" s="254">
        <v>-10.444804610120654</v>
      </c>
    </row>
    <row r="212" spans="1:13" ht="25.05" customHeight="1" x14ac:dyDescent="0.3">
      <c r="A212" s="253" t="s">
        <v>349</v>
      </c>
      <c r="B212" s="252" t="s">
        <v>355</v>
      </c>
      <c r="C212" s="252" t="s">
        <v>354</v>
      </c>
      <c r="D212" s="252" t="s">
        <v>62</v>
      </c>
      <c r="E212" s="252" t="s">
        <v>40</v>
      </c>
      <c r="F212" s="253" t="s">
        <v>21</v>
      </c>
      <c r="G212" s="253" t="s">
        <v>22</v>
      </c>
      <c r="H212" s="254">
        <v>385.6</v>
      </c>
      <c r="I212" s="254">
        <v>435.9</v>
      </c>
      <c r="J212" s="254">
        <v>385.6</v>
      </c>
      <c r="K212" s="254">
        <v>435.9</v>
      </c>
      <c r="L212" s="254">
        <v>-50.299999999999955</v>
      </c>
      <c r="M212" s="254">
        <v>-11.539343886212425</v>
      </c>
    </row>
    <row r="213" spans="1:13" ht="25.05" customHeight="1" x14ac:dyDescent="0.3">
      <c r="A213" s="253" t="s">
        <v>349</v>
      </c>
      <c r="B213" s="252" t="s">
        <v>356</v>
      </c>
      <c r="C213" s="252" t="s">
        <v>354</v>
      </c>
      <c r="D213" s="252" t="s">
        <v>62</v>
      </c>
      <c r="E213" s="252" t="s">
        <v>40</v>
      </c>
      <c r="F213" s="253" t="s">
        <v>21</v>
      </c>
      <c r="G213" s="253" t="s">
        <v>22</v>
      </c>
      <c r="H213" s="254">
        <v>1877.5</v>
      </c>
      <c r="I213" s="254">
        <v>2101.8000000000002</v>
      </c>
      <c r="J213" s="254">
        <v>1877.5</v>
      </c>
      <c r="K213" s="254">
        <v>2101.8000000000002</v>
      </c>
      <c r="L213" s="254">
        <v>-224.30000000000018</v>
      </c>
      <c r="M213" s="254">
        <v>-10.671805119421455</v>
      </c>
    </row>
    <row r="214" spans="1:13" ht="25.05" customHeight="1" x14ac:dyDescent="0.3">
      <c r="A214" s="253" t="s">
        <v>349</v>
      </c>
      <c r="B214" s="252" t="s">
        <v>357</v>
      </c>
      <c r="C214" s="252" t="s">
        <v>358</v>
      </c>
      <c r="D214" s="252" t="s">
        <v>62</v>
      </c>
      <c r="E214" s="252" t="s">
        <v>40</v>
      </c>
      <c r="F214" s="253" t="s">
        <v>21</v>
      </c>
      <c r="G214" s="253" t="s">
        <v>22</v>
      </c>
      <c r="H214" s="254">
        <v>1946.1</v>
      </c>
      <c r="I214" s="254">
        <v>1892.2</v>
      </c>
      <c r="J214" s="254">
        <v>1946.1</v>
      </c>
      <c r="K214" s="254">
        <v>1892.2</v>
      </c>
      <c r="L214" s="254">
        <v>53.899999999999864</v>
      </c>
      <c r="M214" s="254">
        <v>2.8485360955501462</v>
      </c>
    </row>
    <row r="215" spans="1:13" ht="25.05" customHeight="1" x14ac:dyDescent="0.3">
      <c r="A215" s="253" t="s">
        <v>349</v>
      </c>
      <c r="B215" s="252" t="s">
        <v>359</v>
      </c>
      <c r="C215" s="252" t="s">
        <v>360</v>
      </c>
      <c r="D215" s="252" t="s">
        <v>62</v>
      </c>
      <c r="E215" s="252" t="s">
        <v>46</v>
      </c>
      <c r="F215" s="253" t="s">
        <v>21</v>
      </c>
      <c r="G215" s="253" t="s">
        <v>22</v>
      </c>
      <c r="H215" s="254">
        <v>103.1</v>
      </c>
      <c r="I215" s="254">
        <v>97.1</v>
      </c>
      <c r="J215" s="254">
        <v>103.1</v>
      </c>
      <c r="K215" s="254">
        <v>97.1</v>
      </c>
      <c r="L215" s="254">
        <v>6</v>
      </c>
      <c r="M215" s="254">
        <v>6.1791967044284242</v>
      </c>
    </row>
    <row r="216" spans="1:13" ht="25.05" customHeight="1" x14ac:dyDescent="0.3">
      <c r="A216" s="253" t="s">
        <v>349</v>
      </c>
      <c r="B216" s="252" t="s">
        <v>361</v>
      </c>
      <c r="C216" s="252">
        <v>0</v>
      </c>
      <c r="D216" s="252" t="s">
        <v>62</v>
      </c>
      <c r="E216" s="252" t="s">
        <v>20</v>
      </c>
      <c r="F216" s="253" t="s">
        <v>21</v>
      </c>
      <c r="G216" s="253" t="s">
        <v>22</v>
      </c>
      <c r="H216" s="254">
        <v>7832.1</v>
      </c>
      <c r="I216" s="254">
        <v>8529.3000000000011</v>
      </c>
      <c r="J216" s="254">
        <v>7832.0999999999995</v>
      </c>
      <c r="K216" s="254">
        <v>8529.2999999999993</v>
      </c>
      <c r="L216" s="254">
        <v>-697.19999999999982</v>
      </c>
      <c r="M216" s="254">
        <v>-8.1741760754106405</v>
      </c>
    </row>
    <row r="217" spans="1:13" ht="25.05" customHeight="1" x14ac:dyDescent="0.3">
      <c r="A217" s="253" t="s">
        <v>349</v>
      </c>
      <c r="B217" s="252" t="s">
        <v>362</v>
      </c>
      <c r="C217" s="252" t="s">
        <v>363</v>
      </c>
      <c r="D217" s="252" t="s">
        <v>169</v>
      </c>
      <c r="E217" s="252" t="s">
        <v>46</v>
      </c>
      <c r="F217" s="253" t="s">
        <v>21</v>
      </c>
      <c r="G217" s="253" t="s">
        <v>22</v>
      </c>
      <c r="H217" s="254">
        <v>2052.1</v>
      </c>
      <c r="I217" s="254">
        <v>2097</v>
      </c>
      <c r="J217" s="254">
        <v>2052.1</v>
      </c>
      <c r="K217" s="254">
        <v>2097</v>
      </c>
      <c r="L217" s="254">
        <v>-44.900000000000091</v>
      </c>
      <c r="M217" s="254">
        <v>-2.1411540295660512</v>
      </c>
    </row>
    <row r="218" spans="1:13" ht="25.05" customHeight="1" x14ac:dyDescent="0.3">
      <c r="A218" s="253" t="s">
        <v>349</v>
      </c>
      <c r="B218" s="252" t="s">
        <v>364</v>
      </c>
      <c r="C218" s="252">
        <v>0</v>
      </c>
      <c r="D218" s="252" t="s">
        <v>169</v>
      </c>
      <c r="E218" s="252" t="s">
        <v>20</v>
      </c>
      <c r="F218" s="253" t="s">
        <v>21</v>
      </c>
      <c r="G218" s="253" t="s">
        <v>22</v>
      </c>
      <c r="H218" s="254">
        <v>2052.1</v>
      </c>
      <c r="I218" s="254">
        <v>2097</v>
      </c>
      <c r="J218" s="254">
        <v>2052.1</v>
      </c>
      <c r="K218" s="254">
        <v>2097</v>
      </c>
      <c r="L218" s="254">
        <v>-44.900000000000091</v>
      </c>
      <c r="M218" s="254">
        <v>-2.1411540295660512</v>
      </c>
    </row>
    <row r="219" spans="1:13" ht="25.05" customHeight="1" x14ac:dyDescent="0.3">
      <c r="A219" s="253" t="s">
        <v>349</v>
      </c>
      <c r="B219" s="252" t="s">
        <v>365</v>
      </c>
      <c r="C219" s="252" t="s">
        <v>137</v>
      </c>
      <c r="D219" s="252" t="s">
        <v>43</v>
      </c>
      <c r="E219" s="252" t="s">
        <v>40</v>
      </c>
      <c r="F219" s="253" t="s">
        <v>21</v>
      </c>
      <c r="G219" s="253" t="s">
        <v>22</v>
      </c>
      <c r="H219" s="254">
        <v>481.6</v>
      </c>
      <c r="I219" s="254">
        <v>486.2</v>
      </c>
      <c r="J219" s="254">
        <v>481.6</v>
      </c>
      <c r="K219" s="254">
        <v>486.2</v>
      </c>
      <c r="L219" s="254">
        <v>-4.5999999999999659</v>
      </c>
      <c r="M219" s="254">
        <v>-0.94611271081858606</v>
      </c>
    </row>
    <row r="220" spans="1:13" ht="25.05" customHeight="1" x14ac:dyDescent="0.3">
      <c r="A220" s="253" t="s">
        <v>349</v>
      </c>
      <c r="B220" s="252" t="s">
        <v>366</v>
      </c>
      <c r="C220" s="252" t="s">
        <v>367</v>
      </c>
      <c r="D220" s="252" t="s">
        <v>43</v>
      </c>
      <c r="E220" s="252" t="s">
        <v>40</v>
      </c>
      <c r="F220" s="253" t="s">
        <v>21</v>
      </c>
      <c r="G220" s="253" t="s">
        <v>22</v>
      </c>
      <c r="H220" s="254">
        <v>97.9</v>
      </c>
      <c r="I220" s="254">
        <v>68.099999999999994</v>
      </c>
      <c r="J220" s="254">
        <v>97.9</v>
      </c>
      <c r="K220" s="254">
        <v>68.099999999999994</v>
      </c>
      <c r="L220" s="254">
        <v>29.800000000000011</v>
      </c>
      <c r="M220" s="254">
        <v>43.759177679882541</v>
      </c>
    </row>
    <row r="221" spans="1:13" ht="25.05" customHeight="1" x14ac:dyDescent="0.3">
      <c r="A221" s="253" t="s">
        <v>349</v>
      </c>
      <c r="B221" s="252" t="s">
        <v>368</v>
      </c>
      <c r="C221" s="252" t="s">
        <v>139</v>
      </c>
      <c r="D221" s="252" t="s">
        <v>43</v>
      </c>
      <c r="E221" s="252" t="s">
        <v>40</v>
      </c>
      <c r="F221" s="253" t="s">
        <v>21</v>
      </c>
      <c r="G221" s="253" t="s">
        <v>22</v>
      </c>
      <c r="H221" s="254">
        <v>216.3</v>
      </c>
      <c r="I221" s="254">
        <v>184</v>
      </c>
      <c r="J221" s="254">
        <v>216.3</v>
      </c>
      <c r="K221" s="254">
        <v>184</v>
      </c>
      <c r="L221" s="254">
        <v>32.300000000000011</v>
      </c>
      <c r="M221" s="254">
        <v>17.554347826086964</v>
      </c>
    </row>
    <row r="222" spans="1:13" ht="25.05" customHeight="1" x14ac:dyDescent="0.3">
      <c r="A222" s="253" t="s">
        <v>349</v>
      </c>
      <c r="B222" s="252" t="s">
        <v>369</v>
      </c>
      <c r="C222" s="252">
        <v>0</v>
      </c>
      <c r="D222" s="252">
        <v>0</v>
      </c>
      <c r="E222" s="252" t="s">
        <v>20</v>
      </c>
      <c r="F222" s="253" t="s">
        <v>21</v>
      </c>
      <c r="G222" s="253" t="s">
        <v>22</v>
      </c>
      <c r="H222" s="254">
        <v>795.8</v>
      </c>
      <c r="I222" s="254">
        <v>738.3</v>
      </c>
      <c r="J222" s="254">
        <v>795.8</v>
      </c>
      <c r="K222" s="254">
        <v>738.3</v>
      </c>
      <c r="L222" s="254">
        <v>57.5</v>
      </c>
      <c r="M222" s="254">
        <v>7.7881619937694708</v>
      </c>
    </row>
    <row r="223" spans="1:13" ht="25.05" customHeight="1" x14ac:dyDescent="0.3">
      <c r="A223" s="253" t="s">
        <v>349</v>
      </c>
      <c r="B223" s="252" t="s">
        <v>370</v>
      </c>
      <c r="C223" s="252" t="s">
        <v>371</v>
      </c>
      <c r="D223" s="252" t="s">
        <v>89</v>
      </c>
      <c r="E223" s="252" t="s">
        <v>46</v>
      </c>
      <c r="F223" s="253" t="s">
        <v>21</v>
      </c>
      <c r="G223" s="253" t="s">
        <v>22</v>
      </c>
      <c r="H223" s="254">
        <v>12.2</v>
      </c>
      <c r="I223" s="254">
        <v>15.2</v>
      </c>
      <c r="J223" s="254">
        <v>12.2</v>
      </c>
      <c r="K223" s="254">
        <v>15.2</v>
      </c>
      <c r="L223" s="254">
        <v>-3</v>
      </c>
      <c r="M223" s="254">
        <v>-19.736842105263158</v>
      </c>
    </row>
    <row r="224" spans="1:13" ht="25.05" customHeight="1" x14ac:dyDescent="0.3">
      <c r="A224" s="253" t="s">
        <v>349</v>
      </c>
      <c r="B224" s="252" t="s">
        <v>372</v>
      </c>
      <c r="C224" s="252">
        <v>0</v>
      </c>
      <c r="D224" s="252">
        <v>0</v>
      </c>
      <c r="E224" s="252" t="s">
        <v>20</v>
      </c>
      <c r="F224" s="253" t="s">
        <v>21</v>
      </c>
      <c r="G224" s="253" t="s">
        <v>22</v>
      </c>
      <c r="H224" s="254">
        <v>10692.2</v>
      </c>
      <c r="I224" s="254">
        <v>11379.8</v>
      </c>
      <c r="J224" s="254">
        <v>10692.2</v>
      </c>
      <c r="K224" s="254">
        <v>11379.8</v>
      </c>
      <c r="L224" s="254">
        <v>-687.59999999999854</v>
      </c>
      <c r="M224" s="254">
        <v>-6.0422854531713961</v>
      </c>
    </row>
    <row r="225" spans="1:13" ht="25.05" customHeight="1" x14ac:dyDescent="0.3">
      <c r="A225" s="253" t="s">
        <v>349</v>
      </c>
      <c r="B225" s="252" t="s">
        <v>373</v>
      </c>
      <c r="C225" s="252" t="s">
        <v>374</v>
      </c>
      <c r="D225" s="252" t="s">
        <v>62</v>
      </c>
      <c r="E225" s="252" t="s">
        <v>40</v>
      </c>
      <c r="F225" s="253" t="s">
        <v>21</v>
      </c>
      <c r="G225" s="253" t="s">
        <v>22</v>
      </c>
      <c r="H225" s="254">
        <v>845.4</v>
      </c>
      <c r="I225" s="254">
        <v>687.5</v>
      </c>
      <c r="J225" s="254">
        <v>845.4</v>
      </c>
      <c r="K225" s="254">
        <v>687.5</v>
      </c>
      <c r="L225" s="254">
        <v>157.89999999999998</v>
      </c>
      <c r="M225" s="254">
        <v>22.967272727272725</v>
      </c>
    </row>
    <row r="226" spans="1:13" ht="25.05" customHeight="1" x14ac:dyDescent="0.3">
      <c r="A226" s="253" t="s">
        <v>349</v>
      </c>
      <c r="B226" s="252" t="s">
        <v>375</v>
      </c>
      <c r="C226" s="252" t="s">
        <v>376</v>
      </c>
      <c r="D226" s="252" t="s">
        <v>49</v>
      </c>
      <c r="E226" s="252" t="s">
        <v>40</v>
      </c>
      <c r="F226" s="253" t="s">
        <v>21</v>
      </c>
      <c r="G226" s="253" t="s">
        <v>22</v>
      </c>
      <c r="H226" s="254">
        <v>1132.4000000000001</v>
      </c>
      <c r="I226" s="254">
        <v>1602.9</v>
      </c>
      <c r="J226" s="254">
        <v>1132.4000000000001</v>
      </c>
      <c r="K226" s="254">
        <v>1602.9</v>
      </c>
      <c r="L226" s="254">
        <v>-470.5</v>
      </c>
      <c r="M226" s="254">
        <v>-29.35304760122278</v>
      </c>
    </row>
    <row r="227" spans="1:13" ht="25.05" customHeight="1" x14ac:dyDescent="0.3">
      <c r="A227" s="253" t="s">
        <v>349</v>
      </c>
      <c r="B227" s="252" t="s">
        <v>165</v>
      </c>
      <c r="C227" s="252">
        <v>0</v>
      </c>
      <c r="D227" s="252">
        <v>0</v>
      </c>
      <c r="E227" s="252" t="s">
        <v>20</v>
      </c>
      <c r="F227" s="253" t="s">
        <v>21</v>
      </c>
      <c r="G227" s="253" t="s">
        <v>22</v>
      </c>
      <c r="H227" s="254">
        <v>774.6</v>
      </c>
      <c r="I227" s="254">
        <v>707.7</v>
      </c>
      <c r="J227" s="254">
        <v>774.6</v>
      </c>
      <c r="K227" s="254">
        <v>707.7</v>
      </c>
      <c r="L227" s="254">
        <v>66.899999999999977</v>
      </c>
      <c r="M227" s="254">
        <v>9.4531581178465416</v>
      </c>
    </row>
    <row r="228" spans="1:13" ht="25.05" customHeight="1" x14ac:dyDescent="0.3">
      <c r="A228" s="267" t="s">
        <v>349</v>
      </c>
      <c r="B228" s="268" t="s">
        <v>38</v>
      </c>
      <c r="C228" s="268">
        <v>0</v>
      </c>
      <c r="D228" s="268">
        <v>0</v>
      </c>
      <c r="E228" s="268" t="s">
        <v>20</v>
      </c>
      <c r="F228" s="267" t="s">
        <v>21</v>
      </c>
      <c r="G228" s="267" t="s">
        <v>22</v>
      </c>
      <c r="H228" s="269">
        <v>13444.6</v>
      </c>
      <c r="I228" s="269">
        <v>14377.9</v>
      </c>
      <c r="J228" s="269">
        <v>13444.6</v>
      </c>
      <c r="K228" s="269">
        <v>14377.9</v>
      </c>
      <c r="L228" s="269">
        <v>-933.29999999999927</v>
      </c>
      <c r="M228" s="269">
        <v>-6.491212207624196</v>
      </c>
    </row>
    <row r="229" spans="1:13" ht="25.05" customHeight="1" x14ac:dyDescent="0.3">
      <c r="A229" s="253" t="s">
        <v>377</v>
      </c>
      <c r="B229" s="252" t="s">
        <v>1720</v>
      </c>
      <c r="C229" s="252" t="s">
        <v>1721</v>
      </c>
      <c r="D229" s="252" t="s">
        <v>92</v>
      </c>
      <c r="E229" s="252" t="s">
        <v>40</v>
      </c>
      <c r="F229" s="253" t="s">
        <v>21</v>
      </c>
      <c r="G229" s="253" t="s">
        <v>22</v>
      </c>
      <c r="H229" s="254">
        <v>544.4</v>
      </c>
      <c r="I229" s="254">
        <v>544.29999999999995</v>
      </c>
      <c r="J229" s="254">
        <v>544.4</v>
      </c>
      <c r="K229" s="254">
        <v>544.29999999999995</v>
      </c>
      <c r="L229" s="254">
        <v>0.10000000000002274</v>
      </c>
      <c r="M229" s="254">
        <v>1.8372221201547443E-2</v>
      </c>
    </row>
    <row r="230" spans="1:13" ht="25.05" customHeight="1" x14ac:dyDescent="0.3">
      <c r="A230" s="253" t="s">
        <v>377</v>
      </c>
      <c r="B230" s="252" t="s">
        <v>378</v>
      </c>
      <c r="C230" s="252" t="s">
        <v>379</v>
      </c>
      <c r="D230" s="252" t="s">
        <v>258</v>
      </c>
      <c r="E230" s="252" t="s">
        <v>46</v>
      </c>
      <c r="F230" s="253" t="s">
        <v>21</v>
      </c>
      <c r="G230" s="253" t="s">
        <v>22</v>
      </c>
      <c r="H230" s="254">
        <v>457.7</v>
      </c>
      <c r="I230" s="254">
        <v>463.4</v>
      </c>
      <c r="J230" s="254">
        <v>457.7</v>
      </c>
      <c r="K230" s="254">
        <v>463.4</v>
      </c>
      <c r="L230" s="254">
        <v>-5.6999999999999886</v>
      </c>
      <c r="M230" s="254">
        <v>-1.2300388433318923</v>
      </c>
    </row>
    <row r="231" spans="1:13" ht="25.05" customHeight="1" x14ac:dyDescent="0.3">
      <c r="A231" s="253" t="s">
        <v>377</v>
      </c>
      <c r="B231" s="252" t="s">
        <v>380</v>
      </c>
      <c r="C231" s="252" t="s">
        <v>381</v>
      </c>
      <c r="D231" s="252" t="s">
        <v>92</v>
      </c>
      <c r="E231" s="252" t="s">
        <v>40</v>
      </c>
      <c r="F231" s="253" t="s">
        <v>21</v>
      </c>
      <c r="G231" s="253" t="s">
        <v>22</v>
      </c>
      <c r="H231" s="254">
        <v>391.3</v>
      </c>
      <c r="I231" s="254">
        <v>374.3</v>
      </c>
      <c r="J231" s="254">
        <v>391.3</v>
      </c>
      <c r="K231" s="254">
        <v>374.3</v>
      </c>
      <c r="L231" s="254">
        <v>17</v>
      </c>
      <c r="M231" s="254">
        <v>4.5418113812449903</v>
      </c>
    </row>
    <row r="232" spans="1:13" ht="25.05" customHeight="1" x14ac:dyDescent="0.3">
      <c r="A232" s="253" t="s">
        <v>377</v>
      </c>
      <c r="B232" s="252" t="s">
        <v>382</v>
      </c>
      <c r="C232" s="252" t="s">
        <v>383</v>
      </c>
      <c r="D232" s="252" t="s">
        <v>169</v>
      </c>
      <c r="E232" s="252" t="s">
        <v>46</v>
      </c>
      <c r="F232" s="253" t="s">
        <v>21</v>
      </c>
      <c r="G232" s="253" t="s">
        <v>22</v>
      </c>
      <c r="H232" s="254">
        <v>171</v>
      </c>
      <c r="I232" s="254">
        <v>86.9</v>
      </c>
      <c r="J232" s="254">
        <v>171</v>
      </c>
      <c r="K232" s="254">
        <v>86.9</v>
      </c>
      <c r="L232" s="254">
        <v>84.1</v>
      </c>
      <c r="M232" s="254">
        <v>96.777905638665118</v>
      </c>
    </row>
    <row r="233" spans="1:13" ht="25.05" customHeight="1" x14ac:dyDescent="0.3">
      <c r="A233" s="253" t="s">
        <v>377</v>
      </c>
      <c r="B233" s="252" t="s">
        <v>384</v>
      </c>
      <c r="C233" s="252" t="s">
        <v>385</v>
      </c>
      <c r="D233" s="252" t="s">
        <v>92</v>
      </c>
      <c r="E233" s="252" t="s">
        <v>40</v>
      </c>
      <c r="F233" s="253" t="s">
        <v>21</v>
      </c>
      <c r="G233" s="253" t="s">
        <v>22</v>
      </c>
      <c r="H233" s="254">
        <v>110.2</v>
      </c>
      <c r="I233" s="254">
        <v>72</v>
      </c>
      <c r="J233" s="254">
        <v>110.2</v>
      </c>
      <c r="K233" s="254">
        <v>72</v>
      </c>
      <c r="L233" s="254">
        <v>38.200000000000003</v>
      </c>
      <c r="M233" s="254">
        <v>53.055555555555557</v>
      </c>
    </row>
    <row r="234" spans="1:13" ht="25.05" customHeight="1" x14ac:dyDescent="0.3">
      <c r="A234" s="253" t="s">
        <v>377</v>
      </c>
      <c r="B234" s="252" t="s">
        <v>386</v>
      </c>
      <c r="C234" s="252" t="s">
        <v>387</v>
      </c>
      <c r="D234" s="252" t="s">
        <v>92</v>
      </c>
      <c r="E234" s="252" t="s">
        <v>46</v>
      </c>
      <c r="F234" s="253" t="s">
        <v>21</v>
      </c>
      <c r="G234" s="253" t="s">
        <v>22</v>
      </c>
      <c r="H234" s="254">
        <v>1.2</v>
      </c>
      <c r="I234" s="254">
        <v>22.3</v>
      </c>
      <c r="J234" s="254">
        <v>1.2</v>
      </c>
      <c r="K234" s="254">
        <v>22.3</v>
      </c>
      <c r="L234" s="254">
        <v>-21.1</v>
      </c>
      <c r="M234" s="254">
        <v>-94.618834080717491</v>
      </c>
    </row>
    <row r="235" spans="1:13" ht="25.05" customHeight="1" x14ac:dyDescent="0.3">
      <c r="A235" s="253" t="s">
        <v>377</v>
      </c>
      <c r="B235" s="252" t="s">
        <v>388</v>
      </c>
      <c r="C235" s="252">
        <v>0</v>
      </c>
      <c r="D235" s="252">
        <v>0</v>
      </c>
      <c r="E235" s="252" t="s">
        <v>20</v>
      </c>
      <c r="F235" s="253" t="s">
        <v>21</v>
      </c>
      <c r="G235" s="253" t="s">
        <v>22</v>
      </c>
      <c r="H235" s="254">
        <v>1675.8</v>
      </c>
      <c r="I235" s="254">
        <v>1563.2</v>
      </c>
      <c r="J235" s="254">
        <v>1675.8</v>
      </c>
      <c r="K235" s="254">
        <v>1563.2</v>
      </c>
      <c r="L235" s="254">
        <v>112.59999999999991</v>
      </c>
      <c r="M235" s="254">
        <v>7.2031729785056235</v>
      </c>
    </row>
    <row r="236" spans="1:13" ht="25.05" customHeight="1" x14ac:dyDescent="0.3">
      <c r="A236" s="253" t="s">
        <v>377</v>
      </c>
      <c r="B236" s="252" t="s">
        <v>389</v>
      </c>
      <c r="C236" s="252" t="s">
        <v>390</v>
      </c>
      <c r="D236" s="252" t="s">
        <v>92</v>
      </c>
      <c r="E236" s="252" t="s">
        <v>40</v>
      </c>
      <c r="F236" s="253" t="s">
        <v>21</v>
      </c>
      <c r="G236" s="253" t="s">
        <v>22</v>
      </c>
      <c r="H236" s="254">
        <v>130.1</v>
      </c>
      <c r="I236" s="254">
        <v>97.8</v>
      </c>
      <c r="J236" s="254">
        <v>130.1</v>
      </c>
      <c r="K236" s="254">
        <v>97.8</v>
      </c>
      <c r="L236" s="254">
        <v>32.299999999999997</v>
      </c>
      <c r="M236" s="254">
        <v>33.026584867075663</v>
      </c>
    </row>
    <row r="237" spans="1:13" ht="25.05" customHeight="1" x14ac:dyDescent="0.3">
      <c r="A237" s="253" t="s">
        <v>377</v>
      </c>
      <c r="B237" s="252" t="s">
        <v>391</v>
      </c>
      <c r="C237" s="252">
        <v>0</v>
      </c>
      <c r="D237" s="252">
        <v>0</v>
      </c>
      <c r="E237" s="252" t="s">
        <v>20</v>
      </c>
      <c r="F237" s="253" t="s">
        <v>21</v>
      </c>
      <c r="G237" s="253" t="s">
        <v>22</v>
      </c>
      <c r="H237" s="254">
        <v>1805.9</v>
      </c>
      <c r="I237" s="254">
        <v>1661</v>
      </c>
      <c r="J237" s="254">
        <v>1805.9</v>
      </c>
      <c r="K237" s="254">
        <v>1661</v>
      </c>
      <c r="L237" s="254">
        <v>144.90000000000009</v>
      </c>
      <c r="M237" s="254">
        <v>8.7236604455147546</v>
      </c>
    </row>
    <row r="238" spans="1:13" ht="25.05" customHeight="1" x14ac:dyDescent="0.3">
      <c r="A238" s="253" t="s">
        <v>377</v>
      </c>
      <c r="B238" s="252" t="s">
        <v>392</v>
      </c>
      <c r="C238" s="252">
        <v>0</v>
      </c>
      <c r="D238" s="252">
        <v>0</v>
      </c>
      <c r="E238" s="252" t="s">
        <v>20</v>
      </c>
      <c r="F238" s="253" t="s">
        <v>21</v>
      </c>
      <c r="G238" s="253" t="s">
        <v>22</v>
      </c>
      <c r="H238" s="254">
        <v>54.6</v>
      </c>
      <c r="I238" s="254">
        <v>43</v>
      </c>
      <c r="J238" s="254">
        <v>54.6</v>
      </c>
      <c r="K238" s="254">
        <v>43</v>
      </c>
      <c r="L238" s="254">
        <v>11.600000000000001</v>
      </c>
      <c r="M238" s="254">
        <v>26.976744186046513</v>
      </c>
    </row>
    <row r="239" spans="1:13" ht="25.05" customHeight="1" x14ac:dyDescent="0.3">
      <c r="A239" s="267" t="s">
        <v>377</v>
      </c>
      <c r="B239" s="268" t="s">
        <v>101</v>
      </c>
      <c r="C239" s="268">
        <v>0</v>
      </c>
      <c r="D239" s="268">
        <v>0</v>
      </c>
      <c r="E239" s="268" t="s">
        <v>20</v>
      </c>
      <c r="F239" s="267" t="s">
        <v>21</v>
      </c>
      <c r="G239" s="267" t="s">
        <v>22</v>
      </c>
      <c r="H239" s="269">
        <v>1860.5</v>
      </c>
      <c r="I239" s="269">
        <v>1704</v>
      </c>
      <c r="J239" s="269">
        <v>1860.5</v>
      </c>
      <c r="K239" s="269">
        <v>1704</v>
      </c>
      <c r="L239" s="269">
        <v>156.5</v>
      </c>
      <c r="M239" s="269">
        <v>9.1842723004694822</v>
      </c>
    </row>
    <row r="240" spans="1:13" ht="25.05" customHeight="1" x14ac:dyDescent="0.3">
      <c r="A240" s="253" t="s">
        <v>393</v>
      </c>
      <c r="B240" s="252" t="s">
        <v>1709</v>
      </c>
      <c r="C240" s="252">
        <v>0</v>
      </c>
      <c r="D240" s="252" t="s">
        <v>72</v>
      </c>
      <c r="E240" s="252" t="s">
        <v>20</v>
      </c>
      <c r="F240" s="253" t="s">
        <v>21</v>
      </c>
      <c r="G240" s="253" t="s">
        <v>22</v>
      </c>
      <c r="H240" s="254">
        <v>333</v>
      </c>
      <c r="I240" s="254">
        <v>313</v>
      </c>
      <c r="J240" s="254">
        <v>333</v>
      </c>
      <c r="K240" s="254">
        <v>313</v>
      </c>
      <c r="L240" s="254">
        <v>20</v>
      </c>
      <c r="M240" s="254">
        <v>6.3897763578274756</v>
      </c>
    </row>
    <row r="241" spans="1:13" ht="25.05" customHeight="1" x14ac:dyDescent="0.3">
      <c r="A241" s="253" t="s">
        <v>393</v>
      </c>
      <c r="B241" s="252" t="s">
        <v>394</v>
      </c>
      <c r="C241" s="252">
        <v>0</v>
      </c>
      <c r="D241" s="252" t="s">
        <v>72</v>
      </c>
      <c r="E241" s="252" t="s">
        <v>20</v>
      </c>
      <c r="F241" s="253" t="s">
        <v>21</v>
      </c>
      <c r="G241" s="253" t="s">
        <v>22</v>
      </c>
      <c r="H241" s="254">
        <v>236</v>
      </c>
      <c r="I241" s="254">
        <v>284</v>
      </c>
      <c r="J241" s="254">
        <v>236</v>
      </c>
      <c r="K241" s="254">
        <v>284</v>
      </c>
      <c r="L241" s="254">
        <v>-48</v>
      </c>
      <c r="M241" s="254">
        <v>-16.901408450704224</v>
      </c>
    </row>
    <row r="242" spans="1:13" ht="25.05" customHeight="1" x14ac:dyDescent="0.3">
      <c r="A242" s="253" t="s">
        <v>393</v>
      </c>
      <c r="B242" s="252" t="s">
        <v>395</v>
      </c>
      <c r="C242" s="252">
        <v>0</v>
      </c>
      <c r="D242" s="252" t="s">
        <v>72</v>
      </c>
      <c r="E242" s="252" t="s">
        <v>20</v>
      </c>
      <c r="F242" s="253" t="s">
        <v>21</v>
      </c>
      <c r="G242" s="253" t="s">
        <v>22</v>
      </c>
      <c r="H242" s="254">
        <v>174</v>
      </c>
      <c r="I242" s="254">
        <v>217</v>
      </c>
      <c r="J242" s="254">
        <v>174</v>
      </c>
      <c r="K242" s="254">
        <v>217</v>
      </c>
      <c r="L242" s="254">
        <v>-43</v>
      </c>
      <c r="M242" s="254">
        <v>-19.815668202764979</v>
      </c>
    </row>
    <row r="243" spans="1:13" ht="25.05" customHeight="1" x14ac:dyDescent="0.3">
      <c r="A243" s="253" t="s">
        <v>393</v>
      </c>
      <c r="B243" s="252" t="s">
        <v>396</v>
      </c>
      <c r="C243" s="252">
        <v>0</v>
      </c>
      <c r="D243" s="252" t="s">
        <v>72</v>
      </c>
      <c r="E243" s="252" t="s">
        <v>20</v>
      </c>
      <c r="F243" s="253" t="s">
        <v>21</v>
      </c>
      <c r="G243" s="253" t="s">
        <v>22</v>
      </c>
      <c r="H243" s="254">
        <v>164</v>
      </c>
      <c r="I243" s="254">
        <v>178</v>
      </c>
      <c r="J243" s="254">
        <v>164</v>
      </c>
      <c r="K243" s="254">
        <v>178</v>
      </c>
      <c r="L243" s="254">
        <v>-14</v>
      </c>
      <c r="M243" s="254">
        <v>-7.8651685393258424</v>
      </c>
    </row>
    <row r="244" spans="1:13" ht="25.05" customHeight="1" x14ac:dyDescent="0.3">
      <c r="A244" s="253" t="s">
        <v>393</v>
      </c>
      <c r="B244" s="252" t="s">
        <v>397</v>
      </c>
      <c r="C244" s="252">
        <v>0</v>
      </c>
      <c r="D244" s="252" t="s">
        <v>72</v>
      </c>
      <c r="E244" s="252" t="s">
        <v>20</v>
      </c>
      <c r="F244" s="253" t="s">
        <v>21</v>
      </c>
      <c r="G244" s="253" t="s">
        <v>22</v>
      </c>
      <c r="H244" s="254">
        <v>143</v>
      </c>
      <c r="I244" s="254">
        <v>130</v>
      </c>
      <c r="J244" s="254">
        <v>143</v>
      </c>
      <c r="K244" s="254">
        <v>130</v>
      </c>
      <c r="L244" s="254">
        <v>13</v>
      </c>
      <c r="M244" s="254">
        <v>10</v>
      </c>
    </row>
    <row r="245" spans="1:13" ht="25.05" customHeight="1" x14ac:dyDescent="0.3">
      <c r="A245" s="253" t="s">
        <v>393</v>
      </c>
      <c r="B245" s="252" t="s">
        <v>398</v>
      </c>
      <c r="C245" s="252">
        <v>0</v>
      </c>
      <c r="D245" s="252" t="s">
        <v>72</v>
      </c>
      <c r="E245" s="252" t="s">
        <v>20</v>
      </c>
      <c r="F245" s="253" t="s">
        <v>21</v>
      </c>
      <c r="G245" s="253" t="s">
        <v>22</v>
      </c>
      <c r="H245" s="254">
        <v>131</v>
      </c>
      <c r="I245" s="254">
        <v>135</v>
      </c>
      <c r="J245" s="254">
        <v>131</v>
      </c>
      <c r="K245" s="254">
        <v>135</v>
      </c>
      <c r="L245" s="254">
        <v>-4</v>
      </c>
      <c r="M245" s="254">
        <v>-2.9629629629629632</v>
      </c>
    </row>
    <row r="246" spans="1:13" ht="25.05" customHeight="1" x14ac:dyDescent="0.3">
      <c r="A246" s="253" t="s">
        <v>393</v>
      </c>
      <c r="B246" s="252" t="s">
        <v>399</v>
      </c>
      <c r="C246" s="252" t="s">
        <v>400</v>
      </c>
      <c r="D246" s="252" t="s">
        <v>72</v>
      </c>
      <c r="E246" s="252" t="s">
        <v>46</v>
      </c>
      <c r="F246" s="253" t="s">
        <v>21</v>
      </c>
      <c r="G246" s="253" t="s">
        <v>22</v>
      </c>
      <c r="H246" s="254">
        <v>95</v>
      </c>
      <c r="I246" s="254">
        <v>94</v>
      </c>
      <c r="J246" s="254">
        <v>95</v>
      </c>
      <c r="K246" s="254">
        <v>94</v>
      </c>
      <c r="L246" s="254">
        <v>1</v>
      </c>
      <c r="M246" s="254">
        <v>1.0638297872340425</v>
      </c>
    </row>
    <row r="247" spans="1:13" ht="25.05" customHeight="1" x14ac:dyDescent="0.3">
      <c r="A247" s="253" t="s">
        <v>393</v>
      </c>
      <c r="B247" s="252" t="s">
        <v>401</v>
      </c>
      <c r="C247" s="252">
        <v>0</v>
      </c>
      <c r="D247" s="252" t="s">
        <v>72</v>
      </c>
      <c r="E247" s="252" t="s">
        <v>20</v>
      </c>
      <c r="F247" s="253" t="s">
        <v>21</v>
      </c>
      <c r="G247" s="253" t="s">
        <v>22</v>
      </c>
      <c r="H247" s="254">
        <v>91</v>
      </c>
      <c r="I247" s="254">
        <v>109</v>
      </c>
      <c r="J247" s="254">
        <v>91</v>
      </c>
      <c r="K247" s="254">
        <v>109</v>
      </c>
      <c r="L247" s="254">
        <v>-18</v>
      </c>
      <c r="M247" s="254">
        <v>-16.513761467889911</v>
      </c>
    </row>
    <row r="248" spans="1:13" ht="25.05" customHeight="1" x14ac:dyDescent="0.3">
      <c r="A248" s="253" t="s">
        <v>393</v>
      </c>
      <c r="B248" s="252" t="s">
        <v>402</v>
      </c>
      <c r="C248" s="252">
        <v>0</v>
      </c>
      <c r="D248" s="252">
        <v>0</v>
      </c>
      <c r="E248" s="252" t="s">
        <v>20</v>
      </c>
      <c r="F248" s="253" t="s">
        <v>21</v>
      </c>
      <c r="G248" s="253" t="s">
        <v>22</v>
      </c>
      <c r="H248" s="254">
        <v>81</v>
      </c>
      <c r="I248" s="254">
        <v>100</v>
      </c>
      <c r="J248" s="254">
        <v>81</v>
      </c>
      <c r="K248" s="254">
        <v>100</v>
      </c>
      <c r="L248" s="254">
        <v>-19</v>
      </c>
      <c r="M248" s="254">
        <v>-19</v>
      </c>
    </row>
    <row r="249" spans="1:13" ht="25.05" customHeight="1" x14ac:dyDescent="0.3">
      <c r="A249" s="253" t="s">
        <v>393</v>
      </c>
      <c r="B249" s="252" t="s">
        <v>403</v>
      </c>
      <c r="C249" s="252">
        <v>0</v>
      </c>
      <c r="D249" s="252">
        <v>0</v>
      </c>
      <c r="E249" s="252" t="s">
        <v>20</v>
      </c>
      <c r="F249" s="253" t="s">
        <v>21</v>
      </c>
      <c r="G249" s="253" t="s">
        <v>22</v>
      </c>
      <c r="H249" s="254">
        <v>76</v>
      </c>
      <c r="I249" s="254">
        <v>75</v>
      </c>
      <c r="J249" s="254">
        <v>76</v>
      </c>
      <c r="K249" s="254">
        <v>75</v>
      </c>
      <c r="L249" s="254">
        <v>1</v>
      </c>
      <c r="M249" s="254">
        <v>1.3333333333333335</v>
      </c>
    </row>
    <row r="250" spans="1:13" ht="25.05" customHeight="1" x14ac:dyDescent="0.3">
      <c r="A250" s="253" t="s">
        <v>393</v>
      </c>
      <c r="B250" s="252" t="s">
        <v>404</v>
      </c>
      <c r="C250" s="252" t="s">
        <v>405</v>
      </c>
      <c r="D250" s="252" t="s">
        <v>89</v>
      </c>
      <c r="E250" s="252" t="s">
        <v>46</v>
      </c>
      <c r="F250" s="253" t="s">
        <v>21</v>
      </c>
      <c r="G250" s="253" t="s">
        <v>22</v>
      </c>
      <c r="H250" s="254">
        <v>1482</v>
      </c>
      <c r="I250" s="254">
        <v>1452</v>
      </c>
      <c r="J250" s="254">
        <v>1482</v>
      </c>
      <c r="K250" s="254">
        <v>1452</v>
      </c>
      <c r="L250" s="254">
        <v>30</v>
      </c>
      <c r="M250" s="254">
        <v>2.0661157024793391</v>
      </c>
    </row>
    <row r="251" spans="1:13" ht="25.05" customHeight="1" x14ac:dyDescent="0.3">
      <c r="A251" s="253" t="s">
        <v>393</v>
      </c>
      <c r="B251" s="252" t="s">
        <v>406</v>
      </c>
      <c r="C251" s="252" t="s">
        <v>407</v>
      </c>
      <c r="D251" s="252" t="s">
        <v>62</v>
      </c>
      <c r="E251" s="252" t="s">
        <v>46</v>
      </c>
      <c r="F251" s="253" t="s">
        <v>21</v>
      </c>
      <c r="G251" s="253" t="s">
        <v>22</v>
      </c>
      <c r="H251" s="254">
        <v>281</v>
      </c>
      <c r="I251" s="254">
        <v>269</v>
      </c>
      <c r="J251" s="254">
        <v>281</v>
      </c>
      <c r="K251" s="254">
        <v>269</v>
      </c>
      <c r="L251" s="254">
        <v>12</v>
      </c>
      <c r="M251" s="254">
        <v>4.4609665427509295</v>
      </c>
    </row>
    <row r="252" spans="1:13" ht="25.05" customHeight="1" x14ac:dyDescent="0.3">
      <c r="A252" s="253" t="s">
        <v>393</v>
      </c>
      <c r="B252" s="252" t="s">
        <v>408</v>
      </c>
      <c r="C252" s="252">
        <v>0</v>
      </c>
      <c r="D252" s="252" t="s">
        <v>56</v>
      </c>
      <c r="E252" s="252" t="s">
        <v>20</v>
      </c>
      <c r="F252" s="253" t="s">
        <v>21</v>
      </c>
      <c r="G252" s="253" t="s">
        <v>22</v>
      </c>
      <c r="H252" s="254">
        <v>210</v>
      </c>
      <c r="I252" s="254">
        <v>143</v>
      </c>
      <c r="J252" s="254">
        <v>210</v>
      </c>
      <c r="K252" s="254">
        <v>143</v>
      </c>
      <c r="L252" s="254">
        <v>67</v>
      </c>
      <c r="M252" s="254">
        <v>46.853146853146853</v>
      </c>
    </row>
    <row r="253" spans="1:13" ht="25.05" customHeight="1" x14ac:dyDescent="0.3">
      <c r="A253" s="253" t="s">
        <v>393</v>
      </c>
      <c r="B253" s="252" t="s">
        <v>409</v>
      </c>
      <c r="C253" s="252" t="s">
        <v>410</v>
      </c>
      <c r="D253" s="252" t="s">
        <v>97</v>
      </c>
      <c r="E253" s="252" t="s">
        <v>46</v>
      </c>
      <c r="F253" s="253" t="s">
        <v>21</v>
      </c>
      <c r="G253" s="253" t="s">
        <v>22</v>
      </c>
      <c r="H253" s="254">
        <v>118</v>
      </c>
      <c r="I253" s="254">
        <v>112</v>
      </c>
      <c r="J253" s="254">
        <v>118</v>
      </c>
      <c r="K253" s="254">
        <v>112</v>
      </c>
      <c r="L253" s="254">
        <v>6</v>
      </c>
      <c r="M253" s="254">
        <v>5.3571428571428568</v>
      </c>
    </row>
    <row r="254" spans="1:13" ht="25.05" customHeight="1" x14ac:dyDescent="0.3">
      <c r="A254" s="253" t="s">
        <v>393</v>
      </c>
      <c r="B254" s="252" t="s">
        <v>411</v>
      </c>
      <c r="C254" s="252">
        <v>0</v>
      </c>
      <c r="D254" s="252">
        <v>0</v>
      </c>
      <c r="E254" s="252" t="s">
        <v>20</v>
      </c>
      <c r="F254" s="253" t="s">
        <v>21</v>
      </c>
      <c r="G254" s="253" t="s">
        <v>22</v>
      </c>
      <c r="H254" s="254">
        <v>4408</v>
      </c>
      <c r="I254" s="254">
        <v>4739</v>
      </c>
      <c r="J254" s="254">
        <v>4408</v>
      </c>
      <c r="K254" s="254">
        <v>4739</v>
      </c>
      <c r="L254" s="254">
        <v>-331</v>
      </c>
      <c r="M254" s="254">
        <v>-6.9845959063093472</v>
      </c>
    </row>
    <row r="255" spans="1:13" ht="25.05" customHeight="1" x14ac:dyDescent="0.3">
      <c r="A255" s="253" t="s">
        <v>393</v>
      </c>
      <c r="B255" s="252" t="s">
        <v>412</v>
      </c>
      <c r="C255" s="252" t="s">
        <v>407</v>
      </c>
      <c r="D255" s="252" t="s">
        <v>62</v>
      </c>
      <c r="E255" s="252" t="s">
        <v>46</v>
      </c>
      <c r="F255" s="253" t="s">
        <v>21</v>
      </c>
      <c r="G255" s="253" t="s">
        <v>22</v>
      </c>
      <c r="H255" s="254">
        <v>271</v>
      </c>
      <c r="I255" s="254">
        <v>244</v>
      </c>
      <c r="J255" s="254">
        <v>271</v>
      </c>
      <c r="K255" s="254">
        <v>244</v>
      </c>
      <c r="L255" s="254">
        <v>27</v>
      </c>
      <c r="M255" s="254">
        <v>11.065573770491802</v>
      </c>
    </row>
    <row r="256" spans="1:13" ht="25.05" customHeight="1" x14ac:dyDescent="0.3">
      <c r="A256" s="253" t="s">
        <v>393</v>
      </c>
      <c r="B256" s="252" t="s">
        <v>413</v>
      </c>
      <c r="C256" s="252" t="s">
        <v>414</v>
      </c>
      <c r="D256" s="252" t="s">
        <v>62</v>
      </c>
      <c r="E256" s="252" t="s">
        <v>46</v>
      </c>
      <c r="F256" s="253" t="s">
        <v>21</v>
      </c>
      <c r="G256" s="253" t="s">
        <v>22</v>
      </c>
      <c r="H256" s="254">
        <v>98</v>
      </c>
      <c r="I256" s="254">
        <v>83</v>
      </c>
      <c r="J256" s="254">
        <v>98</v>
      </c>
      <c r="K256" s="254">
        <v>83</v>
      </c>
      <c r="L256" s="254">
        <v>15</v>
      </c>
      <c r="M256" s="254">
        <v>18.072289156626507</v>
      </c>
    </row>
    <row r="257" spans="1:13" ht="25.05" customHeight="1" x14ac:dyDescent="0.3">
      <c r="A257" s="253" t="s">
        <v>393</v>
      </c>
      <c r="B257" s="252" t="s">
        <v>415</v>
      </c>
      <c r="C257" s="252" t="s">
        <v>416</v>
      </c>
      <c r="D257" s="252" t="s">
        <v>89</v>
      </c>
      <c r="E257" s="252" t="s">
        <v>46</v>
      </c>
      <c r="F257" s="253" t="s">
        <v>21</v>
      </c>
      <c r="G257" s="253" t="s">
        <v>22</v>
      </c>
      <c r="H257" s="254">
        <v>63</v>
      </c>
      <c r="I257" s="254">
        <v>87</v>
      </c>
      <c r="J257" s="254">
        <v>63</v>
      </c>
      <c r="K257" s="254">
        <v>87</v>
      </c>
      <c r="L257" s="254">
        <v>-24</v>
      </c>
      <c r="M257" s="254">
        <v>-27.586206896551722</v>
      </c>
    </row>
    <row r="258" spans="1:13" ht="25.05" customHeight="1" x14ac:dyDescent="0.3">
      <c r="A258" s="253" t="s">
        <v>393</v>
      </c>
      <c r="B258" s="252" t="s">
        <v>417</v>
      </c>
      <c r="C258" s="252" t="s">
        <v>418</v>
      </c>
      <c r="D258" s="252" t="s">
        <v>62</v>
      </c>
      <c r="E258" s="252" t="s">
        <v>46</v>
      </c>
      <c r="F258" s="253" t="s">
        <v>21</v>
      </c>
      <c r="G258" s="253" t="s">
        <v>22</v>
      </c>
      <c r="H258" s="254">
        <v>50</v>
      </c>
      <c r="I258" s="254">
        <v>43</v>
      </c>
      <c r="J258" s="254">
        <v>50</v>
      </c>
      <c r="K258" s="254">
        <v>43</v>
      </c>
      <c r="L258" s="254">
        <v>7</v>
      </c>
      <c r="M258" s="254">
        <v>16.279069767441861</v>
      </c>
    </row>
    <row r="259" spans="1:13" ht="25.05" customHeight="1" x14ac:dyDescent="0.3">
      <c r="A259" s="253" t="s">
        <v>393</v>
      </c>
      <c r="B259" s="252" t="s">
        <v>419</v>
      </c>
      <c r="C259" s="252" t="s">
        <v>420</v>
      </c>
      <c r="D259" s="252" t="s">
        <v>89</v>
      </c>
      <c r="E259" s="252" t="s">
        <v>46</v>
      </c>
      <c r="F259" s="253" t="s">
        <v>21</v>
      </c>
      <c r="G259" s="253" t="s">
        <v>22</v>
      </c>
      <c r="H259" s="254">
        <v>35</v>
      </c>
      <c r="I259" s="254">
        <v>22</v>
      </c>
      <c r="J259" s="254">
        <v>35</v>
      </c>
      <c r="K259" s="254">
        <v>22</v>
      </c>
      <c r="L259" s="254">
        <v>13</v>
      </c>
      <c r="M259" s="254">
        <v>59.090909090909093</v>
      </c>
    </row>
    <row r="260" spans="1:13" ht="25.05" customHeight="1" x14ac:dyDescent="0.3">
      <c r="A260" s="253" t="s">
        <v>393</v>
      </c>
      <c r="B260" s="252" t="s">
        <v>421</v>
      </c>
      <c r="C260" s="252" t="s">
        <v>422</v>
      </c>
      <c r="D260" s="252" t="s">
        <v>89</v>
      </c>
      <c r="E260" s="252" t="s">
        <v>46</v>
      </c>
      <c r="F260" s="253" t="s">
        <v>21</v>
      </c>
      <c r="G260" s="253" t="s">
        <v>22</v>
      </c>
      <c r="H260" s="254">
        <v>33</v>
      </c>
      <c r="I260" s="254">
        <v>31</v>
      </c>
      <c r="J260" s="254">
        <v>33</v>
      </c>
      <c r="K260" s="254">
        <v>31</v>
      </c>
      <c r="L260" s="254">
        <v>2</v>
      </c>
      <c r="M260" s="254">
        <v>6.4516129032258061</v>
      </c>
    </row>
    <row r="261" spans="1:13" ht="25.05" customHeight="1" x14ac:dyDescent="0.3">
      <c r="A261" s="253" t="s">
        <v>393</v>
      </c>
      <c r="B261" s="252" t="s">
        <v>423</v>
      </c>
      <c r="C261" s="252" t="s">
        <v>424</v>
      </c>
      <c r="D261" s="252" t="s">
        <v>89</v>
      </c>
      <c r="E261" s="252" t="s">
        <v>46</v>
      </c>
      <c r="F261" s="253" t="s">
        <v>21</v>
      </c>
      <c r="G261" s="253" t="s">
        <v>22</v>
      </c>
      <c r="H261" s="254">
        <v>31</v>
      </c>
      <c r="I261" s="254">
        <v>2</v>
      </c>
      <c r="J261" s="254">
        <v>31</v>
      </c>
      <c r="K261" s="254">
        <v>2</v>
      </c>
      <c r="L261" s="254">
        <v>29</v>
      </c>
      <c r="M261" s="254">
        <v>1450</v>
      </c>
    </row>
    <row r="262" spans="1:13" ht="25.05" customHeight="1" x14ac:dyDescent="0.3">
      <c r="A262" s="253" t="s">
        <v>393</v>
      </c>
      <c r="B262" s="252" t="s">
        <v>425</v>
      </c>
      <c r="C262" s="252" t="s">
        <v>426</v>
      </c>
      <c r="D262" s="252" t="s">
        <v>62</v>
      </c>
      <c r="E262" s="252" t="s">
        <v>46</v>
      </c>
      <c r="F262" s="253" t="s">
        <v>21</v>
      </c>
      <c r="G262" s="253" t="s">
        <v>22</v>
      </c>
      <c r="H262" s="254">
        <v>30</v>
      </c>
      <c r="I262" s="254">
        <v>35</v>
      </c>
      <c r="J262" s="254">
        <v>30</v>
      </c>
      <c r="K262" s="254">
        <v>35</v>
      </c>
      <c r="L262" s="254">
        <v>-5</v>
      </c>
      <c r="M262" s="254">
        <v>-14.285714285714285</v>
      </c>
    </row>
    <row r="263" spans="1:13" ht="25.05" customHeight="1" x14ac:dyDescent="0.3">
      <c r="A263" s="253" t="s">
        <v>393</v>
      </c>
      <c r="B263" s="252" t="s">
        <v>427</v>
      </c>
      <c r="C263" s="252" t="s">
        <v>428</v>
      </c>
      <c r="D263" s="252" t="s">
        <v>97</v>
      </c>
      <c r="E263" s="252" t="s">
        <v>46</v>
      </c>
      <c r="F263" s="253" t="s">
        <v>21</v>
      </c>
      <c r="G263" s="253" t="s">
        <v>22</v>
      </c>
      <c r="H263" s="254">
        <v>30</v>
      </c>
      <c r="I263" s="254">
        <v>25</v>
      </c>
      <c r="J263" s="254">
        <v>30</v>
      </c>
      <c r="K263" s="254">
        <v>25</v>
      </c>
      <c r="L263" s="254">
        <v>5</v>
      </c>
      <c r="M263" s="254">
        <v>20</v>
      </c>
    </row>
    <row r="264" spans="1:13" ht="25.05" customHeight="1" x14ac:dyDescent="0.3">
      <c r="A264" s="253" t="s">
        <v>393</v>
      </c>
      <c r="B264" s="252" t="s">
        <v>429</v>
      </c>
      <c r="C264" s="252" t="s">
        <v>430</v>
      </c>
      <c r="D264" s="252" t="s">
        <v>62</v>
      </c>
      <c r="E264" s="252" t="s">
        <v>46</v>
      </c>
      <c r="F264" s="253" t="s">
        <v>21</v>
      </c>
      <c r="G264" s="253" t="s">
        <v>22</v>
      </c>
      <c r="H264" s="254">
        <v>29</v>
      </c>
      <c r="I264" s="254">
        <v>38</v>
      </c>
      <c r="J264" s="254">
        <v>29</v>
      </c>
      <c r="K264" s="254">
        <v>38</v>
      </c>
      <c r="L264" s="254">
        <v>-9</v>
      </c>
      <c r="M264" s="254">
        <v>-23.684210526315788</v>
      </c>
    </row>
    <row r="265" spans="1:13" ht="25.05" customHeight="1" x14ac:dyDescent="0.3">
      <c r="A265" s="253" t="s">
        <v>393</v>
      </c>
      <c r="B265" s="252" t="s">
        <v>431</v>
      </c>
      <c r="C265" s="252">
        <v>0</v>
      </c>
      <c r="D265" s="252">
        <v>0</v>
      </c>
      <c r="E265" s="252" t="s">
        <v>20</v>
      </c>
      <c r="F265" s="253" t="s">
        <v>21</v>
      </c>
      <c r="G265" s="253" t="s">
        <v>22</v>
      </c>
      <c r="H265" s="254">
        <v>1162</v>
      </c>
      <c r="I265" s="254">
        <v>1275</v>
      </c>
      <c r="J265" s="254">
        <v>1162</v>
      </c>
      <c r="K265" s="254">
        <v>1275</v>
      </c>
      <c r="L265" s="254">
        <v>-113</v>
      </c>
      <c r="M265" s="254">
        <v>-8.8627450980392162</v>
      </c>
    </row>
    <row r="266" spans="1:13" ht="25.05" customHeight="1" x14ac:dyDescent="0.3">
      <c r="A266" s="253" t="s">
        <v>393</v>
      </c>
      <c r="B266" s="252" t="s">
        <v>432</v>
      </c>
      <c r="C266" s="252">
        <v>0</v>
      </c>
      <c r="D266" s="252">
        <v>0</v>
      </c>
      <c r="E266" s="252" t="s">
        <v>20</v>
      </c>
      <c r="F266" s="253" t="s">
        <v>21</v>
      </c>
      <c r="G266" s="253" t="s">
        <v>22</v>
      </c>
      <c r="H266" s="254">
        <v>1904</v>
      </c>
      <c r="I266" s="254">
        <v>2022</v>
      </c>
      <c r="J266" s="254">
        <v>1904</v>
      </c>
      <c r="K266" s="254">
        <v>2022</v>
      </c>
      <c r="L266" s="254">
        <v>-118</v>
      </c>
      <c r="M266" s="254">
        <v>-5.8358061325420376</v>
      </c>
    </row>
    <row r="267" spans="1:13" ht="25.05" customHeight="1" x14ac:dyDescent="0.3">
      <c r="A267" s="253" t="s">
        <v>393</v>
      </c>
      <c r="B267" s="252" t="s">
        <v>433</v>
      </c>
      <c r="C267" s="252">
        <v>0</v>
      </c>
      <c r="D267" s="252">
        <v>0</v>
      </c>
      <c r="E267" s="252" t="s">
        <v>20</v>
      </c>
      <c r="F267" s="253" t="s">
        <v>21</v>
      </c>
      <c r="G267" s="253" t="s">
        <v>22</v>
      </c>
      <c r="H267" s="254">
        <v>553</v>
      </c>
      <c r="I267" s="254">
        <v>565</v>
      </c>
      <c r="J267" s="254">
        <v>553</v>
      </c>
      <c r="K267" s="254">
        <v>565</v>
      </c>
      <c r="L267" s="254">
        <v>-12</v>
      </c>
      <c r="M267" s="254">
        <v>-2.1238938053097343</v>
      </c>
    </row>
    <row r="268" spans="1:13" ht="25.05" customHeight="1" x14ac:dyDescent="0.3">
      <c r="A268" s="267" t="s">
        <v>393</v>
      </c>
      <c r="B268" s="268" t="s">
        <v>101</v>
      </c>
      <c r="C268" s="268">
        <v>0</v>
      </c>
      <c r="D268" s="268">
        <v>0</v>
      </c>
      <c r="E268" s="268" t="s">
        <v>20</v>
      </c>
      <c r="F268" s="267" t="s">
        <v>21</v>
      </c>
      <c r="G268" s="267" t="s">
        <v>22</v>
      </c>
      <c r="H268" s="269">
        <v>8027</v>
      </c>
      <c r="I268" s="269">
        <v>8601</v>
      </c>
      <c r="J268" s="269">
        <v>8027</v>
      </c>
      <c r="K268" s="269">
        <v>8601</v>
      </c>
      <c r="L268" s="269">
        <v>-574</v>
      </c>
      <c r="M268" s="269">
        <v>-6.6736425996977102</v>
      </c>
    </row>
    <row r="269" spans="1:13" ht="25.05" customHeight="1" x14ac:dyDescent="0.3">
      <c r="A269" s="253" t="s">
        <v>434</v>
      </c>
      <c r="B269" s="252" t="s">
        <v>605</v>
      </c>
      <c r="C269" s="252" t="s">
        <v>606</v>
      </c>
      <c r="D269" s="252" t="s">
        <v>201</v>
      </c>
      <c r="E269" s="252" t="s">
        <v>46</v>
      </c>
      <c r="F269" s="253" t="s">
        <v>316</v>
      </c>
      <c r="G269" s="253" t="s">
        <v>22</v>
      </c>
      <c r="H269" s="254">
        <v>2480</v>
      </c>
      <c r="I269" s="254">
        <v>2152</v>
      </c>
      <c r="J269" s="254">
        <v>2953.7990400000003</v>
      </c>
      <c r="K269" s="254">
        <v>2563.1352960000004</v>
      </c>
      <c r="L269" s="254">
        <v>390.66374399999995</v>
      </c>
      <c r="M269" s="254">
        <v>15.241635687732339</v>
      </c>
    </row>
    <row r="270" spans="1:13" ht="25.05" customHeight="1" x14ac:dyDescent="0.3">
      <c r="A270" s="253" t="s">
        <v>434</v>
      </c>
      <c r="B270" s="252" t="s">
        <v>435</v>
      </c>
      <c r="C270" s="252" t="s">
        <v>436</v>
      </c>
      <c r="D270" s="252" t="s">
        <v>221</v>
      </c>
      <c r="E270" s="252" t="s">
        <v>46</v>
      </c>
      <c r="F270" s="253" t="s">
        <v>316</v>
      </c>
      <c r="G270" s="253" t="s">
        <v>22</v>
      </c>
      <c r="H270" s="254">
        <v>2055</v>
      </c>
      <c r="I270" s="254">
        <v>1491</v>
      </c>
      <c r="J270" s="254">
        <v>2447.6036400000003</v>
      </c>
      <c r="K270" s="254">
        <v>1775.8525680000002</v>
      </c>
      <c r="L270" s="254">
        <v>671.75107200000002</v>
      </c>
      <c r="M270" s="254">
        <v>37.82696177062374</v>
      </c>
    </row>
    <row r="271" spans="1:13" ht="25.05" customHeight="1" x14ac:dyDescent="0.3">
      <c r="A271" s="253" t="s">
        <v>434</v>
      </c>
      <c r="B271" s="252" t="s">
        <v>437</v>
      </c>
      <c r="C271" s="252" t="s">
        <v>438</v>
      </c>
      <c r="D271" s="252" t="s">
        <v>221</v>
      </c>
      <c r="E271" s="252" t="s">
        <v>46</v>
      </c>
      <c r="F271" s="253" t="s">
        <v>316</v>
      </c>
      <c r="G271" s="253" t="s">
        <v>22</v>
      </c>
      <c r="H271" s="254">
        <v>1793</v>
      </c>
      <c r="I271" s="254">
        <v>2058</v>
      </c>
      <c r="J271" s="254">
        <v>2135.5490640000003</v>
      </c>
      <c r="K271" s="254">
        <v>2451.1767840000002</v>
      </c>
      <c r="L271" s="254">
        <v>-315.62771999999995</v>
      </c>
      <c r="M271" s="254">
        <v>-12.876579203109811</v>
      </c>
    </row>
    <row r="272" spans="1:13" ht="25.05" customHeight="1" x14ac:dyDescent="0.3">
      <c r="A272" s="253" t="s">
        <v>434</v>
      </c>
      <c r="B272" s="252" t="s">
        <v>439</v>
      </c>
      <c r="C272" s="252" t="s">
        <v>440</v>
      </c>
      <c r="D272" s="252" t="s">
        <v>201</v>
      </c>
      <c r="E272" s="252" t="s">
        <v>46</v>
      </c>
      <c r="F272" s="253" t="s">
        <v>316</v>
      </c>
      <c r="G272" s="253" t="s">
        <v>22</v>
      </c>
      <c r="H272" s="254">
        <v>1512</v>
      </c>
      <c r="I272" s="254">
        <v>1559</v>
      </c>
      <c r="J272" s="254">
        <v>1800.8645760000002</v>
      </c>
      <c r="K272" s="254">
        <v>1856.8438320000002</v>
      </c>
      <c r="L272" s="254">
        <v>-55.979256000000078</v>
      </c>
      <c r="M272" s="254">
        <v>-3.0147530468248913</v>
      </c>
    </row>
    <row r="273" spans="1:13" ht="25.05" customHeight="1" x14ac:dyDescent="0.3">
      <c r="A273" s="253" t="s">
        <v>434</v>
      </c>
      <c r="B273" s="252" t="s">
        <v>441</v>
      </c>
      <c r="C273" s="252" t="s">
        <v>442</v>
      </c>
      <c r="D273" s="252" t="s">
        <v>113</v>
      </c>
      <c r="E273" s="252" t="s">
        <v>46</v>
      </c>
      <c r="F273" s="253" t="s">
        <v>316</v>
      </c>
      <c r="G273" s="253" t="s">
        <v>22</v>
      </c>
      <c r="H273" s="254">
        <v>1492</v>
      </c>
      <c r="I273" s="254">
        <v>1529</v>
      </c>
      <c r="J273" s="254">
        <v>1777.0436160000002</v>
      </c>
      <c r="K273" s="254">
        <v>1821.1123920000002</v>
      </c>
      <c r="L273" s="254">
        <v>-44.068776000000071</v>
      </c>
      <c r="M273" s="254">
        <v>-2.4198822759973875</v>
      </c>
    </row>
    <row r="274" spans="1:13" ht="25.05" customHeight="1" x14ac:dyDescent="0.3">
      <c r="A274" s="253" t="s">
        <v>434</v>
      </c>
      <c r="B274" s="252" t="s">
        <v>443</v>
      </c>
      <c r="C274" s="252">
        <v>0</v>
      </c>
      <c r="D274" s="252">
        <v>0</v>
      </c>
      <c r="E274" s="252" t="s">
        <v>20</v>
      </c>
      <c r="F274" s="253" t="s">
        <v>316</v>
      </c>
      <c r="G274" s="253" t="s">
        <v>22</v>
      </c>
      <c r="H274" s="254">
        <v>5083</v>
      </c>
      <c r="I274" s="254">
        <v>6663</v>
      </c>
      <c r="J274" s="254">
        <v>6054.0969840000007</v>
      </c>
      <c r="K274" s="254">
        <v>7935.9528240000009</v>
      </c>
      <c r="L274" s="254">
        <v>-1881.8558400000002</v>
      </c>
      <c r="M274" s="254">
        <v>-23.713042173195255</v>
      </c>
    </row>
    <row r="275" spans="1:13" ht="25.05" customHeight="1" x14ac:dyDescent="0.3">
      <c r="A275" s="253" t="s">
        <v>434</v>
      </c>
      <c r="B275" s="252" t="s">
        <v>444</v>
      </c>
      <c r="C275" s="252">
        <v>0</v>
      </c>
      <c r="D275" s="252">
        <v>0</v>
      </c>
      <c r="E275" s="252" t="s">
        <v>20</v>
      </c>
      <c r="F275" s="253" t="s">
        <v>316</v>
      </c>
      <c r="G275" s="253" t="s">
        <v>22</v>
      </c>
      <c r="H275" s="254">
        <v>14415</v>
      </c>
      <c r="I275" s="254">
        <v>13961</v>
      </c>
      <c r="J275" s="254">
        <v>17168.956920000001</v>
      </c>
      <c r="K275" s="254">
        <v>16628.221128000001</v>
      </c>
      <c r="L275" s="254">
        <v>540.73579199999949</v>
      </c>
      <c r="M275" s="254">
        <v>3.2519160518587462</v>
      </c>
    </row>
    <row r="276" spans="1:13" ht="25.05" customHeight="1" x14ac:dyDescent="0.3">
      <c r="A276" s="253" t="s">
        <v>434</v>
      </c>
      <c r="B276" s="252" t="s">
        <v>445</v>
      </c>
      <c r="C276" s="252" t="s">
        <v>446</v>
      </c>
      <c r="D276" s="252" t="s">
        <v>89</v>
      </c>
      <c r="E276" s="252" t="s">
        <v>46</v>
      </c>
      <c r="F276" s="253" t="s">
        <v>316</v>
      </c>
      <c r="G276" s="253" t="s">
        <v>22</v>
      </c>
      <c r="H276" s="254">
        <v>804</v>
      </c>
      <c r="I276" s="254">
        <v>740</v>
      </c>
      <c r="J276" s="254">
        <v>957.60259200000007</v>
      </c>
      <c r="K276" s="254">
        <v>881.37552000000005</v>
      </c>
      <c r="L276" s="254">
        <v>76.227072000000021</v>
      </c>
      <c r="M276" s="254">
        <v>8.6486486486486509</v>
      </c>
    </row>
    <row r="277" spans="1:13" ht="25.05" customHeight="1" x14ac:dyDescent="0.3">
      <c r="A277" s="253" t="s">
        <v>434</v>
      </c>
      <c r="B277" s="252" t="s">
        <v>447</v>
      </c>
      <c r="C277" s="252" t="s">
        <v>448</v>
      </c>
      <c r="D277" s="252" t="s">
        <v>89</v>
      </c>
      <c r="E277" s="252" t="s">
        <v>46</v>
      </c>
      <c r="F277" s="253" t="s">
        <v>316</v>
      </c>
      <c r="G277" s="253" t="s">
        <v>22</v>
      </c>
      <c r="H277" s="254">
        <v>406</v>
      </c>
      <c r="I277" s="254">
        <v>379</v>
      </c>
      <c r="J277" s="254">
        <v>483.56548800000002</v>
      </c>
      <c r="K277" s="254">
        <v>451.40719200000007</v>
      </c>
      <c r="L277" s="254">
        <v>32.15829599999995</v>
      </c>
      <c r="M277" s="254">
        <v>7.1240105540896979</v>
      </c>
    </row>
    <row r="278" spans="1:13" ht="25.05" customHeight="1" x14ac:dyDescent="0.3">
      <c r="A278" s="253" t="s">
        <v>434</v>
      </c>
      <c r="B278" s="252" t="s">
        <v>449</v>
      </c>
      <c r="C278" s="273" t="s">
        <v>1827</v>
      </c>
      <c r="D278" s="252" t="s">
        <v>89</v>
      </c>
      <c r="E278" s="252" t="s">
        <v>46</v>
      </c>
      <c r="F278" s="253" t="s">
        <v>316</v>
      </c>
      <c r="G278" s="253" t="s">
        <v>22</v>
      </c>
      <c r="H278" s="254">
        <v>312</v>
      </c>
      <c r="I278" s="254">
        <v>318</v>
      </c>
      <c r="J278" s="254">
        <v>371.60697600000003</v>
      </c>
      <c r="K278" s="254">
        <v>378.75326400000006</v>
      </c>
      <c r="L278" s="254">
        <v>-7.1462880000000268</v>
      </c>
      <c r="M278" s="254">
        <v>-1.8867924528301956</v>
      </c>
    </row>
    <row r="279" spans="1:13" ht="25.05" customHeight="1" x14ac:dyDescent="0.3">
      <c r="A279" s="253" t="s">
        <v>434</v>
      </c>
      <c r="B279" s="252" t="s">
        <v>451</v>
      </c>
      <c r="C279" s="252" t="s">
        <v>452</v>
      </c>
      <c r="D279" s="252" t="s">
        <v>239</v>
      </c>
      <c r="E279" s="252" t="s">
        <v>239</v>
      </c>
      <c r="F279" s="253" t="s">
        <v>316</v>
      </c>
      <c r="G279" s="253" t="s">
        <v>22</v>
      </c>
      <c r="H279" s="254">
        <v>264</v>
      </c>
      <c r="I279" s="254">
        <v>238</v>
      </c>
      <c r="J279" s="254">
        <v>314.43667200000004</v>
      </c>
      <c r="K279" s="254">
        <v>283.469424</v>
      </c>
      <c r="L279" s="254">
        <v>30.967248000000041</v>
      </c>
      <c r="M279" s="254">
        <v>10.924369747899174</v>
      </c>
    </row>
    <row r="280" spans="1:13" ht="25.05" customHeight="1" x14ac:dyDescent="0.3">
      <c r="A280" s="253" t="s">
        <v>434</v>
      </c>
      <c r="B280" s="252" t="s">
        <v>443</v>
      </c>
      <c r="C280" s="252">
        <v>0</v>
      </c>
      <c r="D280" s="252">
        <v>0</v>
      </c>
      <c r="E280" s="252" t="s">
        <v>20</v>
      </c>
      <c r="F280" s="253" t="s">
        <v>316</v>
      </c>
      <c r="G280" s="253" t="s">
        <v>22</v>
      </c>
      <c r="H280" s="254">
        <v>2335</v>
      </c>
      <c r="I280" s="254">
        <v>2360</v>
      </c>
      <c r="J280" s="254">
        <v>2781.0970800000005</v>
      </c>
      <c r="K280" s="254">
        <v>2810.8732800000002</v>
      </c>
      <c r="L280" s="254">
        <v>-29.77619999999979</v>
      </c>
      <c r="M280" s="254">
        <v>-1.0593220338982976</v>
      </c>
    </row>
    <row r="281" spans="1:13" ht="25.05" customHeight="1" x14ac:dyDescent="0.3">
      <c r="A281" s="253" t="s">
        <v>434</v>
      </c>
      <c r="B281" s="252" t="s">
        <v>347</v>
      </c>
      <c r="C281" s="252">
        <v>0</v>
      </c>
      <c r="D281" s="252">
        <v>0</v>
      </c>
      <c r="E281" s="252" t="s">
        <v>20</v>
      </c>
      <c r="F281" s="253" t="s">
        <v>316</v>
      </c>
      <c r="G281" s="253" t="s">
        <v>22</v>
      </c>
      <c r="H281" s="254">
        <v>4121</v>
      </c>
      <c r="I281" s="254">
        <v>4035</v>
      </c>
      <c r="J281" s="254">
        <v>4908.3088080000007</v>
      </c>
      <c r="K281" s="254">
        <v>4805.8786800000007</v>
      </c>
      <c r="L281" s="254">
        <v>102.43012799999997</v>
      </c>
      <c r="M281" s="254">
        <v>2.1313506815365542</v>
      </c>
    </row>
    <row r="282" spans="1:13" ht="25.05" customHeight="1" x14ac:dyDescent="0.3">
      <c r="A282" s="253" t="s">
        <v>434</v>
      </c>
      <c r="B282" s="252" t="s">
        <v>453</v>
      </c>
      <c r="C282" s="252">
        <v>0</v>
      </c>
      <c r="D282" s="252">
        <v>0</v>
      </c>
      <c r="E282" s="252" t="s">
        <v>20</v>
      </c>
      <c r="F282" s="253" t="s">
        <v>316</v>
      </c>
      <c r="G282" s="253" t="s">
        <v>22</v>
      </c>
      <c r="H282" s="254">
        <v>837</v>
      </c>
      <c r="I282" s="254">
        <v>786</v>
      </c>
      <c r="J282" s="254">
        <v>996.90717600000005</v>
      </c>
      <c r="K282" s="254">
        <v>936.16372800000011</v>
      </c>
      <c r="L282" s="254">
        <v>60.743447999999944</v>
      </c>
      <c r="M282" s="254">
        <v>6.4885496183206035</v>
      </c>
    </row>
    <row r="283" spans="1:13" ht="25.05" customHeight="1" x14ac:dyDescent="0.3">
      <c r="A283" s="253" t="s">
        <v>434</v>
      </c>
      <c r="B283" s="252" t="s">
        <v>443</v>
      </c>
      <c r="C283" s="252">
        <v>0</v>
      </c>
      <c r="D283" s="252">
        <v>0</v>
      </c>
      <c r="E283" s="252" t="s">
        <v>20</v>
      </c>
      <c r="F283" s="253" t="s">
        <v>316</v>
      </c>
      <c r="G283" s="253" t="s">
        <v>22</v>
      </c>
      <c r="H283" s="254">
        <v>33</v>
      </c>
      <c r="I283" s="254">
        <v>41</v>
      </c>
      <c r="J283" s="254">
        <v>39.304584000000006</v>
      </c>
      <c r="K283" s="254">
        <v>48.832968000000001</v>
      </c>
      <c r="L283" s="254">
        <v>-9.5283839999999955</v>
      </c>
      <c r="M283" s="254">
        <v>-19.512195121951208</v>
      </c>
    </row>
    <row r="284" spans="1:13" ht="25.05" customHeight="1" x14ac:dyDescent="0.3">
      <c r="A284" s="253" t="s">
        <v>434</v>
      </c>
      <c r="B284" s="252" t="s">
        <v>454</v>
      </c>
      <c r="C284" s="252">
        <v>0</v>
      </c>
      <c r="D284" s="252">
        <v>0</v>
      </c>
      <c r="E284" s="252" t="s">
        <v>20</v>
      </c>
      <c r="F284" s="253" t="s">
        <v>316</v>
      </c>
      <c r="G284" s="253" t="s">
        <v>22</v>
      </c>
      <c r="H284" s="254">
        <v>160</v>
      </c>
      <c r="I284" s="254">
        <v>174</v>
      </c>
      <c r="J284" s="254">
        <v>190.56768000000002</v>
      </c>
      <c r="K284" s="254">
        <v>207.24235200000001</v>
      </c>
      <c r="L284" s="254">
        <v>-16.674671999999987</v>
      </c>
      <c r="M284" s="254">
        <v>-8.0459770114942462</v>
      </c>
    </row>
    <row r="285" spans="1:13" ht="25.05" customHeight="1" x14ac:dyDescent="0.3">
      <c r="A285" s="253" t="s">
        <v>434</v>
      </c>
      <c r="B285" s="252" t="s">
        <v>455</v>
      </c>
      <c r="C285" s="252">
        <v>0</v>
      </c>
      <c r="D285" s="252">
        <v>0</v>
      </c>
      <c r="E285" s="252" t="s">
        <v>20</v>
      </c>
      <c r="F285" s="253" t="s">
        <v>316</v>
      </c>
      <c r="G285" s="253" t="s">
        <v>22</v>
      </c>
      <c r="H285" s="254">
        <v>19566</v>
      </c>
      <c r="I285" s="254">
        <v>18997</v>
      </c>
      <c r="J285" s="254">
        <v>23304.045168000001</v>
      </c>
      <c r="K285" s="254">
        <v>22626.338856000002</v>
      </c>
      <c r="L285" s="254">
        <v>677.70631199999843</v>
      </c>
      <c r="M285" s="254">
        <v>2.9952097699636715</v>
      </c>
    </row>
    <row r="286" spans="1:13" ht="25.05" customHeight="1" x14ac:dyDescent="0.3">
      <c r="A286" s="267" t="s">
        <v>434</v>
      </c>
      <c r="B286" s="268" t="s">
        <v>101</v>
      </c>
      <c r="C286" s="268">
        <v>0</v>
      </c>
      <c r="D286" s="268">
        <v>0</v>
      </c>
      <c r="E286" s="268" t="s">
        <v>20</v>
      </c>
      <c r="F286" s="267" t="s">
        <v>316</v>
      </c>
      <c r="G286" s="267" t="s">
        <v>22</v>
      </c>
      <c r="H286" s="269">
        <v>23254</v>
      </c>
      <c r="I286" s="269">
        <v>21272</v>
      </c>
      <c r="J286" s="269">
        <v>27696.630192000004</v>
      </c>
      <c r="K286" s="269">
        <v>25335.973056000003</v>
      </c>
      <c r="L286" s="269">
        <v>2360.6571360000016</v>
      </c>
      <c r="M286" s="269">
        <v>9.3174125611132066</v>
      </c>
    </row>
    <row r="287" spans="1:13" ht="25.05" customHeight="1" x14ac:dyDescent="0.3">
      <c r="A287" s="253" t="s">
        <v>456</v>
      </c>
      <c r="B287" s="252" t="s">
        <v>1675</v>
      </c>
      <c r="C287" s="252" t="s">
        <v>1724</v>
      </c>
      <c r="D287" s="252" t="s">
        <v>49</v>
      </c>
      <c r="E287" s="252" t="s">
        <v>46</v>
      </c>
      <c r="F287" s="253" t="s">
        <v>21</v>
      </c>
      <c r="G287" s="253" t="s">
        <v>22</v>
      </c>
      <c r="H287" s="254">
        <v>12106</v>
      </c>
      <c r="I287" s="254">
        <v>9378</v>
      </c>
      <c r="J287" s="254">
        <v>12106</v>
      </c>
      <c r="K287" s="254">
        <v>9378</v>
      </c>
      <c r="L287" s="254">
        <v>2728</v>
      </c>
      <c r="M287" s="254">
        <v>29.089358072083598</v>
      </c>
    </row>
    <row r="288" spans="1:13" ht="25.05" customHeight="1" x14ac:dyDescent="0.3">
      <c r="A288" s="253" t="s">
        <v>456</v>
      </c>
      <c r="B288" s="252" t="s">
        <v>457</v>
      </c>
      <c r="C288" s="252" t="s">
        <v>458</v>
      </c>
      <c r="D288" s="252" t="s">
        <v>129</v>
      </c>
      <c r="E288" s="252" t="s">
        <v>46</v>
      </c>
      <c r="F288" s="253" t="s">
        <v>21</v>
      </c>
      <c r="G288" s="253" t="s">
        <v>22</v>
      </c>
      <c r="H288" s="254">
        <v>9168</v>
      </c>
      <c r="I288" s="254">
        <v>7929</v>
      </c>
      <c r="J288" s="254">
        <v>9168</v>
      </c>
      <c r="K288" s="254">
        <v>7929</v>
      </c>
      <c r="L288" s="254">
        <v>1239</v>
      </c>
      <c r="M288" s="254">
        <v>15.626182368520618</v>
      </c>
    </row>
    <row r="289" spans="1:13" ht="25.05" customHeight="1" x14ac:dyDescent="0.3">
      <c r="A289" s="253" t="s">
        <v>456</v>
      </c>
      <c r="B289" s="252" t="s">
        <v>459</v>
      </c>
      <c r="C289" s="252" t="s">
        <v>460</v>
      </c>
      <c r="D289" s="252" t="s">
        <v>49</v>
      </c>
      <c r="E289" s="252" t="s">
        <v>40</v>
      </c>
      <c r="F289" s="253" t="s">
        <v>21</v>
      </c>
      <c r="G289" s="253" t="s">
        <v>22</v>
      </c>
      <c r="H289" s="254">
        <v>6992</v>
      </c>
      <c r="I289" s="254">
        <v>7204</v>
      </c>
      <c r="J289" s="254">
        <v>6992</v>
      </c>
      <c r="K289" s="254">
        <v>7204</v>
      </c>
      <c r="L289" s="254">
        <v>-212</v>
      </c>
      <c r="M289" s="254">
        <v>-2.9428095502498612</v>
      </c>
    </row>
    <row r="290" spans="1:13" ht="25.05" customHeight="1" x14ac:dyDescent="0.3">
      <c r="A290" s="253" t="s">
        <v>456</v>
      </c>
      <c r="B290" s="252" t="s">
        <v>461</v>
      </c>
      <c r="C290" s="252" t="s">
        <v>462</v>
      </c>
      <c r="D290" s="252" t="s">
        <v>43</v>
      </c>
      <c r="E290" s="252" t="s">
        <v>40</v>
      </c>
      <c r="F290" s="253" t="s">
        <v>21</v>
      </c>
      <c r="G290" s="253" t="s">
        <v>22</v>
      </c>
      <c r="H290" s="254">
        <v>3157</v>
      </c>
      <c r="I290" s="254">
        <v>2977</v>
      </c>
      <c r="J290" s="254">
        <v>3157</v>
      </c>
      <c r="K290" s="254">
        <v>2977</v>
      </c>
      <c r="L290" s="254">
        <v>180</v>
      </c>
      <c r="M290" s="254">
        <v>6.0463553913335568</v>
      </c>
    </row>
    <row r="291" spans="1:13" ht="25.05" customHeight="1" x14ac:dyDescent="0.3">
      <c r="A291" s="253" t="s">
        <v>456</v>
      </c>
      <c r="B291" s="252" t="s">
        <v>463</v>
      </c>
      <c r="C291" s="252" t="s">
        <v>464</v>
      </c>
      <c r="D291" s="252" t="s">
        <v>49</v>
      </c>
      <c r="E291" s="252" t="s">
        <v>46</v>
      </c>
      <c r="F291" s="253" t="s">
        <v>21</v>
      </c>
      <c r="G291" s="253" t="s">
        <v>22</v>
      </c>
      <c r="H291" s="254">
        <v>3070</v>
      </c>
      <c r="I291" s="254">
        <v>2162</v>
      </c>
      <c r="J291" s="254">
        <v>3070</v>
      </c>
      <c r="K291" s="254">
        <v>2162</v>
      </c>
      <c r="L291" s="254">
        <v>908</v>
      </c>
      <c r="M291" s="254">
        <v>41.99814986123959</v>
      </c>
    </row>
    <row r="292" spans="1:13" ht="25.05" customHeight="1" x14ac:dyDescent="0.3">
      <c r="A292" s="253" t="s">
        <v>456</v>
      </c>
      <c r="B292" s="252" t="s">
        <v>465</v>
      </c>
      <c r="C292" s="252" t="s">
        <v>466</v>
      </c>
      <c r="D292" s="252" t="s">
        <v>49</v>
      </c>
      <c r="E292" s="252" t="s">
        <v>46</v>
      </c>
      <c r="F292" s="253" t="s">
        <v>21</v>
      </c>
      <c r="G292" s="253" t="s">
        <v>22</v>
      </c>
      <c r="H292" s="254">
        <v>2140</v>
      </c>
      <c r="I292" s="254">
        <v>2110</v>
      </c>
      <c r="J292" s="254">
        <v>2140</v>
      </c>
      <c r="K292" s="254">
        <v>2110</v>
      </c>
      <c r="L292" s="254">
        <v>30</v>
      </c>
      <c r="M292" s="254">
        <v>1.4218009478672986</v>
      </c>
    </row>
    <row r="293" spans="1:13" ht="25.05" customHeight="1" x14ac:dyDescent="0.3">
      <c r="A293" s="253" t="s">
        <v>456</v>
      </c>
      <c r="B293" s="252" t="s">
        <v>467</v>
      </c>
      <c r="C293" s="252" t="s">
        <v>468</v>
      </c>
      <c r="D293" s="252" t="s">
        <v>49</v>
      </c>
      <c r="E293" s="252" t="s">
        <v>40</v>
      </c>
      <c r="F293" s="253" t="s">
        <v>21</v>
      </c>
      <c r="G293" s="253" t="s">
        <v>22</v>
      </c>
      <c r="H293" s="254">
        <v>1682</v>
      </c>
      <c r="I293" s="254">
        <v>1489</v>
      </c>
      <c r="J293" s="254">
        <v>1682</v>
      </c>
      <c r="K293" s="254">
        <v>1489</v>
      </c>
      <c r="L293" s="254">
        <v>193</v>
      </c>
      <c r="M293" s="254">
        <v>12.961719274680995</v>
      </c>
    </row>
    <row r="294" spans="1:13" ht="25.05" customHeight="1" x14ac:dyDescent="0.3">
      <c r="A294" s="253" t="s">
        <v>456</v>
      </c>
      <c r="B294" s="252" t="s">
        <v>469</v>
      </c>
      <c r="C294" s="252" t="s">
        <v>470</v>
      </c>
      <c r="D294" s="252" t="s">
        <v>49</v>
      </c>
      <c r="E294" s="252" t="s">
        <v>46</v>
      </c>
      <c r="F294" s="253" t="s">
        <v>21</v>
      </c>
      <c r="G294" s="253" t="s">
        <v>22</v>
      </c>
      <c r="H294" s="254">
        <v>1247</v>
      </c>
      <c r="I294" s="254">
        <v>1086</v>
      </c>
      <c r="J294" s="254">
        <v>1247</v>
      </c>
      <c r="K294" s="254">
        <v>1086</v>
      </c>
      <c r="L294" s="254">
        <v>161</v>
      </c>
      <c r="M294" s="254">
        <v>14.825046040515655</v>
      </c>
    </row>
    <row r="295" spans="1:13" ht="25.05" customHeight="1" x14ac:dyDescent="0.3">
      <c r="A295" s="253" t="s">
        <v>456</v>
      </c>
      <c r="B295" s="252" t="s">
        <v>471</v>
      </c>
      <c r="C295" s="252" t="s">
        <v>472</v>
      </c>
      <c r="D295" s="252" t="s">
        <v>49</v>
      </c>
      <c r="E295" s="252" t="s">
        <v>40</v>
      </c>
      <c r="F295" s="253" t="s">
        <v>21</v>
      </c>
      <c r="G295" s="253" t="s">
        <v>22</v>
      </c>
      <c r="H295" s="254">
        <v>381</v>
      </c>
      <c r="I295" s="254">
        <v>357</v>
      </c>
      <c r="J295" s="254">
        <v>381</v>
      </c>
      <c r="K295" s="254">
        <v>357</v>
      </c>
      <c r="L295" s="254">
        <v>24</v>
      </c>
      <c r="M295" s="254">
        <v>6.7226890756302522</v>
      </c>
    </row>
    <row r="296" spans="1:13" ht="25.05" customHeight="1" x14ac:dyDescent="0.3">
      <c r="A296" s="253" t="s">
        <v>456</v>
      </c>
      <c r="B296" s="252" t="s">
        <v>473</v>
      </c>
      <c r="C296" s="252" t="s">
        <v>474</v>
      </c>
      <c r="D296" s="252" t="s">
        <v>113</v>
      </c>
      <c r="E296" s="252" t="s">
        <v>40</v>
      </c>
      <c r="F296" s="253" t="s">
        <v>21</v>
      </c>
      <c r="G296" s="253" t="s">
        <v>22</v>
      </c>
      <c r="H296" s="254">
        <v>274</v>
      </c>
      <c r="I296" s="254">
        <v>0</v>
      </c>
      <c r="J296" s="254">
        <v>274</v>
      </c>
      <c r="K296" s="254">
        <v>0</v>
      </c>
      <c r="L296" s="254">
        <v>274</v>
      </c>
      <c r="M296" s="254" t="s">
        <v>67</v>
      </c>
    </row>
    <row r="297" spans="1:13" ht="25.05" customHeight="1" x14ac:dyDescent="0.3">
      <c r="A297" s="253" t="s">
        <v>456</v>
      </c>
      <c r="B297" s="252" t="s">
        <v>475</v>
      </c>
      <c r="C297" s="252" t="s">
        <v>476</v>
      </c>
      <c r="D297" s="252" t="s">
        <v>49</v>
      </c>
      <c r="E297" s="252" t="s">
        <v>46</v>
      </c>
      <c r="F297" s="253" t="s">
        <v>21</v>
      </c>
      <c r="G297" s="253" t="s">
        <v>22</v>
      </c>
      <c r="H297" s="254">
        <v>55</v>
      </c>
      <c r="I297" s="254">
        <v>7</v>
      </c>
      <c r="J297" s="254">
        <v>55</v>
      </c>
      <c r="K297" s="254">
        <v>7</v>
      </c>
      <c r="L297" s="254">
        <v>48</v>
      </c>
      <c r="M297" s="254">
        <v>685.71428571428567</v>
      </c>
    </row>
    <row r="298" spans="1:13" ht="25.05" customHeight="1" x14ac:dyDescent="0.3">
      <c r="A298" s="253" t="s">
        <v>456</v>
      </c>
      <c r="B298" s="252" t="s">
        <v>477</v>
      </c>
      <c r="C298" s="252" t="s">
        <v>478</v>
      </c>
      <c r="D298" s="252" t="s">
        <v>49</v>
      </c>
      <c r="E298" s="252" t="s">
        <v>46</v>
      </c>
      <c r="F298" s="253" t="s">
        <v>21</v>
      </c>
      <c r="G298" s="253" t="s">
        <v>22</v>
      </c>
      <c r="H298" s="254">
        <v>17</v>
      </c>
      <c r="I298" s="254">
        <v>0</v>
      </c>
      <c r="J298" s="254">
        <v>17</v>
      </c>
      <c r="K298" s="254">
        <v>0</v>
      </c>
      <c r="L298" s="254">
        <v>17</v>
      </c>
      <c r="M298" s="254" t="s">
        <v>67</v>
      </c>
    </row>
    <row r="299" spans="1:13" ht="25.05" customHeight="1" x14ac:dyDescent="0.3">
      <c r="A299" s="253" t="s">
        <v>456</v>
      </c>
      <c r="B299" s="252" t="s">
        <v>479</v>
      </c>
      <c r="C299" s="252" t="s">
        <v>480</v>
      </c>
      <c r="D299" s="252" t="s">
        <v>481</v>
      </c>
      <c r="E299" s="252" t="s">
        <v>46</v>
      </c>
      <c r="F299" s="253" t="s">
        <v>21</v>
      </c>
      <c r="G299" s="253" t="s">
        <v>22</v>
      </c>
      <c r="H299" s="254">
        <v>12</v>
      </c>
      <c r="I299" s="254">
        <v>0</v>
      </c>
      <c r="J299" s="254">
        <v>12</v>
      </c>
      <c r="K299" s="254">
        <v>0</v>
      </c>
      <c r="L299" s="254">
        <v>12</v>
      </c>
      <c r="M299" s="254" t="s">
        <v>67</v>
      </c>
    </row>
    <row r="300" spans="1:13" ht="25.05" customHeight="1" x14ac:dyDescent="0.3">
      <c r="A300" s="253" t="s">
        <v>456</v>
      </c>
      <c r="B300" s="252" t="s">
        <v>482</v>
      </c>
      <c r="C300" s="252">
        <v>0</v>
      </c>
      <c r="D300" s="252">
        <v>0</v>
      </c>
      <c r="E300" s="252" t="s">
        <v>20</v>
      </c>
      <c r="F300" s="253" t="s">
        <v>21</v>
      </c>
      <c r="G300" s="253" t="s">
        <v>22</v>
      </c>
      <c r="H300" s="254">
        <v>8878</v>
      </c>
      <c r="I300" s="254">
        <v>23858</v>
      </c>
      <c r="J300" s="254">
        <v>8878</v>
      </c>
      <c r="K300" s="254">
        <v>23858</v>
      </c>
      <c r="L300" s="254">
        <v>-14980</v>
      </c>
      <c r="M300" s="254">
        <v>-62.788163299522168</v>
      </c>
    </row>
    <row r="301" spans="1:13" ht="25.05" customHeight="1" x14ac:dyDescent="0.3">
      <c r="A301" s="253" t="s">
        <v>456</v>
      </c>
      <c r="B301" s="252" t="s">
        <v>483</v>
      </c>
      <c r="C301" s="252" t="s">
        <v>478</v>
      </c>
      <c r="D301" s="252" t="s">
        <v>49</v>
      </c>
      <c r="E301" s="252" t="s">
        <v>46</v>
      </c>
      <c r="F301" s="253" t="s">
        <v>21</v>
      </c>
      <c r="G301" s="253" t="s">
        <v>22</v>
      </c>
      <c r="H301" s="254">
        <v>455</v>
      </c>
      <c r="I301" s="254">
        <v>521</v>
      </c>
      <c r="J301" s="254">
        <v>455</v>
      </c>
      <c r="K301" s="254">
        <v>521</v>
      </c>
      <c r="L301" s="254">
        <v>-66</v>
      </c>
      <c r="M301" s="254">
        <v>-12.667946257197697</v>
      </c>
    </row>
    <row r="302" spans="1:13" ht="25.05" customHeight="1" x14ac:dyDescent="0.3">
      <c r="A302" s="253" t="s">
        <v>456</v>
      </c>
      <c r="B302" s="252" t="s">
        <v>484</v>
      </c>
      <c r="C302" s="252" t="s">
        <v>485</v>
      </c>
      <c r="D302" s="252" t="s">
        <v>89</v>
      </c>
      <c r="E302" s="252" t="s">
        <v>46</v>
      </c>
      <c r="F302" s="253" t="s">
        <v>21</v>
      </c>
      <c r="G302" s="253" t="s">
        <v>22</v>
      </c>
      <c r="H302" s="254">
        <v>447</v>
      </c>
      <c r="I302" s="254">
        <v>555</v>
      </c>
      <c r="J302" s="254">
        <v>447</v>
      </c>
      <c r="K302" s="254">
        <v>555</v>
      </c>
      <c r="L302" s="254">
        <v>-108</v>
      </c>
      <c r="M302" s="254">
        <v>-19.45945945945946</v>
      </c>
    </row>
    <row r="303" spans="1:13" ht="25.05" customHeight="1" x14ac:dyDescent="0.3">
      <c r="A303" s="253" t="s">
        <v>456</v>
      </c>
      <c r="B303" s="252" t="s">
        <v>486</v>
      </c>
      <c r="C303" s="252">
        <v>0</v>
      </c>
      <c r="D303" s="252">
        <v>0</v>
      </c>
      <c r="E303" s="252" t="s">
        <v>20</v>
      </c>
      <c r="F303" s="253" t="s">
        <v>21</v>
      </c>
      <c r="G303" s="253" t="s">
        <v>22</v>
      </c>
      <c r="H303" s="254">
        <v>1315</v>
      </c>
      <c r="I303" s="254">
        <v>1674</v>
      </c>
      <c r="J303" s="254">
        <v>1315</v>
      </c>
      <c r="K303" s="254">
        <v>1674</v>
      </c>
      <c r="L303" s="254">
        <v>-359</v>
      </c>
      <c r="M303" s="254">
        <v>-21.44563918757467</v>
      </c>
    </row>
    <row r="304" spans="1:13" ht="25.05" customHeight="1" x14ac:dyDescent="0.3">
      <c r="A304" s="253" t="s">
        <v>456</v>
      </c>
      <c r="B304" s="252" t="s">
        <v>487</v>
      </c>
      <c r="C304" s="252">
        <v>0</v>
      </c>
      <c r="D304" s="252">
        <v>0</v>
      </c>
      <c r="E304" s="252" t="s">
        <v>20</v>
      </c>
      <c r="F304" s="253" t="s">
        <v>21</v>
      </c>
      <c r="G304" s="253" t="s">
        <v>22</v>
      </c>
      <c r="H304" s="254">
        <v>2217</v>
      </c>
      <c r="I304" s="254">
        <v>2287</v>
      </c>
      <c r="J304" s="254">
        <v>2217</v>
      </c>
      <c r="K304" s="254">
        <v>2287</v>
      </c>
      <c r="L304" s="254">
        <v>-70</v>
      </c>
      <c r="M304" s="254">
        <v>-3.0607783121993881</v>
      </c>
    </row>
    <row r="305" spans="1:13" ht="25.05" customHeight="1" x14ac:dyDescent="0.3">
      <c r="A305" s="267" t="s">
        <v>456</v>
      </c>
      <c r="B305" s="268" t="s">
        <v>101</v>
      </c>
      <c r="C305" s="268">
        <v>0</v>
      </c>
      <c r="D305" s="268">
        <v>0</v>
      </c>
      <c r="E305" s="268" t="s">
        <v>20</v>
      </c>
      <c r="F305" s="267" t="s">
        <v>21</v>
      </c>
      <c r="G305" s="267" t="s">
        <v>22</v>
      </c>
      <c r="H305" s="269">
        <v>42518</v>
      </c>
      <c r="I305" s="269">
        <v>39090</v>
      </c>
      <c r="J305" s="269">
        <v>42518</v>
      </c>
      <c r="K305" s="269">
        <v>39090</v>
      </c>
      <c r="L305" s="269">
        <v>3428</v>
      </c>
      <c r="M305" s="269">
        <v>8.7695062675876176</v>
      </c>
    </row>
    <row r="306" spans="1:13" ht="25.05" customHeight="1" x14ac:dyDescent="0.3">
      <c r="A306" s="253" t="s">
        <v>488</v>
      </c>
      <c r="B306" s="252" t="s">
        <v>49</v>
      </c>
      <c r="C306" s="252"/>
      <c r="D306" s="252" t="s">
        <v>49</v>
      </c>
      <c r="E306" s="252" t="s">
        <v>20</v>
      </c>
      <c r="F306" s="253" t="s">
        <v>250</v>
      </c>
      <c r="G306" s="253" t="s">
        <v>251</v>
      </c>
      <c r="H306" s="254">
        <v>229.5</v>
      </c>
      <c r="I306" s="254">
        <v>240.5</v>
      </c>
      <c r="J306" s="254">
        <v>2177.7255</v>
      </c>
      <c r="K306" s="254">
        <v>2282.1044999999999</v>
      </c>
      <c r="L306" s="254">
        <v>-104.37899999999991</v>
      </c>
      <c r="M306" s="254">
        <v>-4.5738045738045701</v>
      </c>
    </row>
    <row r="307" spans="1:13" ht="25.05" customHeight="1" x14ac:dyDescent="0.3">
      <c r="A307" s="253" t="s">
        <v>488</v>
      </c>
      <c r="B307" s="252" t="s">
        <v>489</v>
      </c>
      <c r="C307" s="252"/>
      <c r="D307" s="252" t="s">
        <v>126</v>
      </c>
      <c r="E307" s="252" t="s">
        <v>20</v>
      </c>
      <c r="F307" s="253" t="s">
        <v>250</v>
      </c>
      <c r="G307" s="253" t="s">
        <v>251</v>
      </c>
      <c r="H307" s="254">
        <v>92.4</v>
      </c>
      <c r="I307" s="254">
        <v>108.4</v>
      </c>
      <c r="J307" s="254">
        <v>876.78359999999998</v>
      </c>
      <c r="K307" s="254">
        <v>1028.6075999999998</v>
      </c>
      <c r="L307" s="254">
        <v>-151.82399999999984</v>
      </c>
      <c r="M307" s="254">
        <v>-14.760147601476001</v>
      </c>
    </row>
    <row r="308" spans="1:13" ht="25.05" customHeight="1" x14ac:dyDescent="0.3">
      <c r="A308" s="253" t="s">
        <v>488</v>
      </c>
      <c r="B308" s="252" t="s">
        <v>258</v>
      </c>
      <c r="C308" s="252"/>
      <c r="D308" s="252" t="s">
        <v>258</v>
      </c>
      <c r="E308" s="252" t="s">
        <v>20</v>
      </c>
      <c r="F308" s="253" t="s">
        <v>250</v>
      </c>
      <c r="G308" s="253" t="s">
        <v>251</v>
      </c>
      <c r="H308" s="254">
        <v>28.6</v>
      </c>
      <c r="I308" s="254">
        <v>34.6</v>
      </c>
      <c r="J308" s="254">
        <v>271.3854</v>
      </c>
      <c r="K308" s="254">
        <v>328.31939999999997</v>
      </c>
      <c r="L308" s="254">
        <v>-56.933999999999969</v>
      </c>
      <c r="M308" s="254">
        <v>-17.341040462427738</v>
      </c>
    </row>
    <row r="309" spans="1:13" ht="25.05" customHeight="1" x14ac:dyDescent="0.3">
      <c r="A309" s="253" t="s">
        <v>488</v>
      </c>
      <c r="B309" s="252" t="s">
        <v>23</v>
      </c>
      <c r="C309" s="252"/>
      <c r="D309" s="252">
        <v>0</v>
      </c>
      <c r="E309" s="252" t="s">
        <v>20</v>
      </c>
      <c r="F309" s="253" t="s">
        <v>250</v>
      </c>
      <c r="G309" s="253" t="s">
        <v>251</v>
      </c>
      <c r="H309" s="254">
        <v>58.7</v>
      </c>
      <c r="I309" s="254">
        <v>54.1</v>
      </c>
      <c r="J309" s="254">
        <v>557.00429999999994</v>
      </c>
      <c r="K309" s="254">
        <v>513.35489999999993</v>
      </c>
      <c r="L309" s="254">
        <v>43.649400000000014</v>
      </c>
      <c r="M309" s="254">
        <v>8.5027726432532376</v>
      </c>
    </row>
    <row r="310" spans="1:13" ht="25.05" customHeight="1" x14ac:dyDescent="0.3">
      <c r="A310" s="253" t="s">
        <v>488</v>
      </c>
      <c r="B310" s="252" t="s">
        <v>490</v>
      </c>
      <c r="C310" s="252"/>
      <c r="D310" s="252">
        <v>0</v>
      </c>
      <c r="E310" s="252" t="s">
        <v>20</v>
      </c>
      <c r="F310" s="253" t="s">
        <v>250</v>
      </c>
      <c r="G310" s="253" t="s">
        <v>251</v>
      </c>
      <c r="H310" s="254">
        <v>224</v>
      </c>
      <c r="I310" s="254">
        <v>151.30000000000001</v>
      </c>
      <c r="J310" s="254">
        <v>2125.5359999999996</v>
      </c>
      <c r="K310" s="254">
        <v>1435.6856999999998</v>
      </c>
      <c r="L310" s="254">
        <v>689.85029999999983</v>
      </c>
      <c r="M310" s="254">
        <v>48.050231328486447</v>
      </c>
    </row>
    <row r="311" spans="1:13" ht="25.05" customHeight="1" x14ac:dyDescent="0.3">
      <c r="A311" s="253" t="s">
        <v>488</v>
      </c>
      <c r="B311" s="252" t="s">
        <v>491</v>
      </c>
      <c r="C311" s="252"/>
      <c r="D311" s="252">
        <v>0</v>
      </c>
      <c r="E311" s="252" t="s">
        <v>20</v>
      </c>
      <c r="F311" s="253" t="s">
        <v>250</v>
      </c>
      <c r="G311" s="253" t="s">
        <v>251</v>
      </c>
      <c r="H311" s="254">
        <v>409</v>
      </c>
      <c r="I311" s="254">
        <v>437.6</v>
      </c>
      <c r="J311" s="254">
        <v>3881.0009999999997</v>
      </c>
      <c r="K311" s="254">
        <v>4152.3863999999994</v>
      </c>
      <c r="L311" s="254">
        <v>-271.38539999999966</v>
      </c>
      <c r="M311" s="254">
        <v>-6.5356489945155323</v>
      </c>
    </row>
    <row r="312" spans="1:13" ht="25.05" customHeight="1" x14ac:dyDescent="0.3">
      <c r="A312" s="253" t="s">
        <v>488</v>
      </c>
      <c r="B312" s="252" t="s">
        <v>38</v>
      </c>
      <c r="C312" s="252"/>
      <c r="D312" s="252">
        <v>0</v>
      </c>
      <c r="E312" s="252" t="s">
        <v>20</v>
      </c>
      <c r="F312" s="253" t="s">
        <v>250</v>
      </c>
      <c r="G312" s="253" t="s">
        <v>251</v>
      </c>
      <c r="H312" s="254">
        <v>633.29999999999995</v>
      </c>
      <c r="I312" s="254">
        <v>588.9</v>
      </c>
      <c r="J312" s="254">
        <v>6009.3836999999994</v>
      </c>
      <c r="K312" s="254">
        <v>5588.0720999999994</v>
      </c>
      <c r="L312" s="254">
        <v>421.3116</v>
      </c>
      <c r="M312" s="254">
        <v>7.5394803871625076</v>
      </c>
    </row>
    <row r="313" spans="1:13" ht="25.05" customHeight="1" x14ac:dyDescent="0.3">
      <c r="A313" s="253" t="s">
        <v>488</v>
      </c>
      <c r="B313" s="252" t="s">
        <v>492</v>
      </c>
      <c r="C313" s="252"/>
      <c r="D313" s="252">
        <v>0</v>
      </c>
      <c r="E313" s="252" t="s">
        <v>20</v>
      </c>
      <c r="F313" s="253" t="s">
        <v>250</v>
      </c>
      <c r="G313" s="253" t="s">
        <v>251</v>
      </c>
      <c r="H313" s="254">
        <v>153.6</v>
      </c>
      <c r="I313" s="254">
        <v>97.3</v>
      </c>
      <c r="J313" s="254">
        <v>1457.5103999999999</v>
      </c>
      <c r="K313" s="254">
        <v>923.27969999999993</v>
      </c>
      <c r="L313" s="254">
        <v>534.23069999999996</v>
      </c>
      <c r="M313" s="254">
        <v>57.8622816032888</v>
      </c>
    </row>
    <row r="314" spans="1:13" ht="25.05" customHeight="1" x14ac:dyDescent="0.3">
      <c r="A314" s="267" t="s">
        <v>488</v>
      </c>
      <c r="B314" s="268" t="s">
        <v>101</v>
      </c>
      <c r="C314" s="268"/>
      <c r="D314" s="268">
        <v>0</v>
      </c>
      <c r="E314" s="268" t="s">
        <v>20</v>
      </c>
      <c r="F314" s="267" t="s">
        <v>250</v>
      </c>
      <c r="G314" s="267" t="s">
        <v>251</v>
      </c>
      <c r="H314" s="269">
        <v>786.9</v>
      </c>
      <c r="I314" s="269">
        <v>686.18</v>
      </c>
      <c r="J314" s="269">
        <v>7466.8940999999995</v>
      </c>
      <c r="K314" s="269">
        <v>6511.1620199999998</v>
      </c>
      <c r="L314" s="269">
        <v>955.73207999999977</v>
      </c>
      <c r="M314" s="269">
        <v>14.678364277594797</v>
      </c>
    </row>
    <row r="315" spans="1:13" ht="25.05" customHeight="1" x14ac:dyDescent="0.3">
      <c r="A315" s="253" t="s">
        <v>493</v>
      </c>
      <c r="B315" s="252" t="s">
        <v>1727</v>
      </c>
      <c r="C315" s="252" t="s">
        <v>223</v>
      </c>
      <c r="D315" s="252" t="s">
        <v>221</v>
      </c>
      <c r="E315" s="252" t="s">
        <v>46</v>
      </c>
      <c r="F315" s="253" t="s">
        <v>316</v>
      </c>
      <c r="G315" s="253" t="s">
        <v>22</v>
      </c>
      <c r="H315" s="254">
        <v>4.8710000000000004</v>
      </c>
      <c r="I315" s="254">
        <v>9.3260000000000005</v>
      </c>
      <c r="J315" s="254">
        <v>5.8015948080000008</v>
      </c>
      <c r="K315" s="254">
        <v>11.107713648000001</v>
      </c>
      <c r="L315" s="254">
        <v>-5.3061188399999999</v>
      </c>
      <c r="M315" s="254">
        <v>-47.769676174136819</v>
      </c>
    </row>
    <row r="316" spans="1:13" ht="25.05" customHeight="1" x14ac:dyDescent="0.3">
      <c r="A316" s="253" t="s">
        <v>493</v>
      </c>
      <c r="B316" s="252" t="s">
        <v>494</v>
      </c>
      <c r="C316" s="252" t="s">
        <v>223</v>
      </c>
      <c r="D316" s="252" t="s">
        <v>221</v>
      </c>
      <c r="E316" s="252" t="s">
        <v>46</v>
      </c>
      <c r="F316" s="253" t="s">
        <v>316</v>
      </c>
      <c r="G316" s="253" t="s">
        <v>22</v>
      </c>
      <c r="H316" s="254">
        <v>6.7110000000000003</v>
      </c>
      <c r="I316" s="254">
        <v>3.948</v>
      </c>
      <c r="J316" s="254">
        <v>7.9931231280000015</v>
      </c>
      <c r="K316" s="254">
        <v>4.7022575040000003</v>
      </c>
      <c r="L316" s="254">
        <v>3.2908656240000012</v>
      </c>
      <c r="M316" s="254">
        <v>69.984802431610959</v>
      </c>
    </row>
    <row r="317" spans="1:13" ht="25.05" customHeight="1" x14ac:dyDescent="0.3">
      <c r="A317" s="253" t="s">
        <v>493</v>
      </c>
      <c r="B317" s="252" t="s">
        <v>495</v>
      </c>
      <c r="C317" s="252" t="s">
        <v>496</v>
      </c>
      <c r="D317" s="252" t="s">
        <v>97</v>
      </c>
      <c r="E317" s="252" t="s">
        <v>46</v>
      </c>
      <c r="F317" s="253" t="s">
        <v>316</v>
      </c>
      <c r="G317" s="253" t="s">
        <v>22</v>
      </c>
      <c r="H317" s="254">
        <v>27.654</v>
      </c>
      <c r="I317" s="254">
        <v>21.754999999999999</v>
      </c>
      <c r="J317" s="254">
        <v>32.937241392000004</v>
      </c>
      <c r="K317" s="254">
        <v>25.91124924</v>
      </c>
      <c r="L317" s="254">
        <v>7.0259921520000042</v>
      </c>
      <c r="M317" s="254">
        <v>27.115605607906247</v>
      </c>
    </row>
    <row r="318" spans="1:13" ht="25.05" customHeight="1" x14ac:dyDescent="0.3">
      <c r="A318" s="253" t="s">
        <v>493</v>
      </c>
      <c r="B318" s="252" t="s">
        <v>497</v>
      </c>
      <c r="C318" s="252" t="s">
        <v>498</v>
      </c>
      <c r="D318" s="252" t="s">
        <v>97</v>
      </c>
      <c r="E318" s="252" t="s">
        <v>46</v>
      </c>
      <c r="F318" s="253" t="s">
        <v>316</v>
      </c>
      <c r="G318" s="253" t="s">
        <v>22</v>
      </c>
      <c r="H318" s="254">
        <v>0</v>
      </c>
      <c r="I318" s="254">
        <v>0.42499999999999999</v>
      </c>
      <c r="J318" s="254">
        <v>0</v>
      </c>
      <c r="K318" s="254">
        <v>0.50619540000000007</v>
      </c>
      <c r="L318" s="254">
        <v>-0.50619540000000007</v>
      </c>
      <c r="M318" s="254">
        <v>-100</v>
      </c>
    </row>
    <row r="319" spans="1:13" ht="25.05" customHeight="1" x14ac:dyDescent="0.3">
      <c r="A319" s="253" t="s">
        <v>493</v>
      </c>
      <c r="B319" s="252" t="s">
        <v>499</v>
      </c>
      <c r="C319" s="252">
        <v>0</v>
      </c>
      <c r="D319" s="252">
        <v>0</v>
      </c>
      <c r="E319" s="252" t="s">
        <v>20</v>
      </c>
      <c r="F319" s="253" t="s">
        <v>316</v>
      </c>
      <c r="G319" s="253" t="s">
        <v>22</v>
      </c>
      <c r="H319" s="254">
        <v>9.4329999999999998</v>
      </c>
      <c r="I319" s="254">
        <v>8.2569999999999997</v>
      </c>
      <c r="J319" s="254">
        <v>11.235155784000002</v>
      </c>
      <c r="K319" s="254">
        <v>9.8344833359999999</v>
      </c>
      <c r="L319" s="254">
        <v>1.4006724480000017</v>
      </c>
      <c r="M319" s="254">
        <v>14.242460942230853</v>
      </c>
    </row>
    <row r="320" spans="1:13" ht="25.05" customHeight="1" x14ac:dyDescent="0.3">
      <c r="A320" s="253" t="s">
        <v>493</v>
      </c>
      <c r="B320" s="252" t="s">
        <v>500</v>
      </c>
      <c r="C320" s="252">
        <v>0</v>
      </c>
      <c r="D320" s="252">
        <v>0</v>
      </c>
      <c r="E320" s="252" t="s">
        <v>20</v>
      </c>
      <c r="F320" s="253" t="s">
        <v>316</v>
      </c>
      <c r="G320" s="253" t="s">
        <v>22</v>
      </c>
      <c r="H320" s="254">
        <v>7.415</v>
      </c>
      <c r="I320" s="254">
        <v>12.548999999999999</v>
      </c>
      <c r="J320" s="254">
        <v>8.8316209200000007</v>
      </c>
      <c r="K320" s="254">
        <v>14.946461352</v>
      </c>
      <c r="L320" s="254">
        <v>-6.1148404319999994</v>
      </c>
      <c r="M320" s="254">
        <v>-40.911626424416283</v>
      </c>
    </row>
    <row r="321" spans="1:13" ht="25.05" customHeight="1" x14ac:dyDescent="0.3">
      <c r="A321" s="253" t="s">
        <v>493</v>
      </c>
      <c r="B321" s="252" t="s">
        <v>23</v>
      </c>
      <c r="C321" s="252">
        <v>0</v>
      </c>
      <c r="D321" s="252">
        <v>0</v>
      </c>
      <c r="E321" s="252" t="s">
        <v>20</v>
      </c>
      <c r="F321" s="253" t="s">
        <v>316</v>
      </c>
      <c r="G321" s="253" t="s">
        <v>22</v>
      </c>
      <c r="H321" s="254">
        <v>4.8650000000000002</v>
      </c>
      <c r="I321" s="254">
        <v>6.2350000000000003</v>
      </c>
      <c r="J321" s="254">
        <v>5.7944485200000004</v>
      </c>
      <c r="K321" s="254">
        <v>7.4261842800000011</v>
      </c>
      <c r="L321" s="254">
        <v>-1.6317357600000006</v>
      </c>
      <c r="M321" s="254">
        <v>-21.972734562951089</v>
      </c>
    </row>
    <row r="322" spans="1:13" ht="25.05" customHeight="1" x14ac:dyDescent="0.3">
      <c r="A322" s="267" t="s">
        <v>493</v>
      </c>
      <c r="B322" s="268" t="s">
        <v>501</v>
      </c>
      <c r="C322" s="268">
        <v>0</v>
      </c>
      <c r="D322" s="268">
        <v>0</v>
      </c>
      <c r="E322" s="268" t="s">
        <v>20</v>
      </c>
      <c r="F322" s="267" t="s">
        <v>316</v>
      </c>
      <c r="G322" s="267" t="s">
        <v>22</v>
      </c>
      <c r="H322" s="269">
        <v>60.948999999999998</v>
      </c>
      <c r="I322" s="269">
        <v>62.494999999999997</v>
      </c>
      <c r="J322" s="269">
        <v>72.593184552000011</v>
      </c>
      <c r="K322" s="269">
        <v>74.434544760000009</v>
      </c>
      <c r="L322" s="269">
        <v>-1.8413602079999976</v>
      </c>
      <c r="M322" s="269">
        <v>-2.473797903832303</v>
      </c>
    </row>
    <row r="323" spans="1:13" ht="25.05" customHeight="1" x14ac:dyDescent="0.3">
      <c r="A323" s="253" t="s">
        <v>502</v>
      </c>
      <c r="B323" s="252" t="s">
        <v>233</v>
      </c>
      <c r="C323" s="252" t="s">
        <v>1729</v>
      </c>
      <c r="D323" s="252" t="s">
        <v>97</v>
      </c>
      <c r="E323" s="252" t="s">
        <v>46</v>
      </c>
      <c r="F323" s="253" t="s">
        <v>250</v>
      </c>
      <c r="G323" s="253" t="s">
        <v>251</v>
      </c>
      <c r="H323" s="254">
        <v>78.3</v>
      </c>
      <c r="I323" s="254">
        <v>79.599999999999994</v>
      </c>
      <c r="J323" s="254">
        <v>717.46289999999999</v>
      </c>
      <c r="K323" s="254">
        <v>729.37479999999994</v>
      </c>
      <c r="L323" s="254">
        <v>-11.911899999999946</v>
      </c>
      <c r="M323" s="254">
        <v>-1.6331658291457214</v>
      </c>
    </row>
    <row r="324" spans="1:13" ht="25.05" customHeight="1" x14ac:dyDescent="0.3">
      <c r="A324" s="253" t="s">
        <v>502</v>
      </c>
      <c r="B324" s="252" t="s">
        <v>503</v>
      </c>
      <c r="C324" s="252" t="s">
        <v>504</v>
      </c>
      <c r="D324" s="252" t="s">
        <v>113</v>
      </c>
      <c r="E324" s="252" t="s">
        <v>46</v>
      </c>
      <c r="F324" s="253" t="s">
        <v>250</v>
      </c>
      <c r="G324" s="253" t="s">
        <v>251</v>
      </c>
      <c r="H324" s="254">
        <v>77.2</v>
      </c>
      <c r="I324" s="254">
        <v>81.3</v>
      </c>
      <c r="J324" s="254">
        <v>707.38359999999989</v>
      </c>
      <c r="K324" s="254">
        <v>744.95189999999991</v>
      </c>
      <c r="L324" s="254">
        <v>-37.568300000000022</v>
      </c>
      <c r="M324" s="254">
        <v>-5.0430504305043087</v>
      </c>
    </row>
    <row r="325" spans="1:13" ht="25.05" customHeight="1" x14ac:dyDescent="0.3">
      <c r="A325" s="253" t="s">
        <v>502</v>
      </c>
      <c r="B325" s="252" t="s">
        <v>505</v>
      </c>
      <c r="C325" s="252" t="s">
        <v>143</v>
      </c>
      <c r="D325" s="252" t="s">
        <v>126</v>
      </c>
      <c r="E325" s="252" t="s">
        <v>40</v>
      </c>
      <c r="F325" s="253" t="s">
        <v>250</v>
      </c>
      <c r="G325" s="253" t="s">
        <v>251</v>
      </c>
      <c r="H325" s="254">
        <v>33.1</v>
      </c>
      <c r="I325" s="254">
        <v>30.7</v>
      </c>
      <c r="J325" s="254">
        <v>303.2953</v>
      </c>
      <c r="K325" s="254">
        <v>281.30410000000001</v>
      </c>
      <c r="L325" s="254">
        <v>21.991199999999992</v>
      </c>
      <c r="M325" s="254">
        <v>7.8175895765472276</v>
      </c>
    </row>
    <row r="326" spans="1:13" ht="25.05" customHeight="1" x14ac:dyDescent="0.3">
      <c r="A326" s="253" t="s">
        <v>502</v>
      </c>
      <c r="B326" s="252" t="s">
        <v>506</v>
      </c>
      <c r="C326" s="252" t="s">
        <v>507</v>
      </c>
      <c r="D326" s="252" t="s">
        <v>62</v>
      </c>
      <c r="E326" s="252" t="s">
        <v>46</v>
      </c>
      <c r="F326" s="253" t="s">
        <v>250</v>
      </c>
      <c r="G326" s="253" t="s">
        <v>251</v>
      </c>
      <c r="H326" s="254">
        <v>27.200000000000003</v>
      </c>
      <c r="I326" s="254">
        <v>50.8</v>
      </c>
      <c r="J326" s="254">
        <v>249.23360000000002</v>
      </c>
      <c r="K326" s="254">
        <v>465.48039999999997</v>
      </c>
      <c r="L326" s="254">
        <v>-216.24679999999995</v>
      </c>
      <c r="M326" s="254">
        <v>-46.456692913385815</v>
      </c>
    </row>
    <row r="327" spans="1:13" ht="25.05" customHeight="1" x14ac:dyDescent="0.3">
      <c r="A327" s="253" t="s">
        <v>502</v>
      </c>
      <c r="B327" s="252" t="s">
        <v>508</v>
      </c>
      <c r="C327" s="252" t="s">
        <v>509</v>
      </c>
      <c r="D327" s="252" t="s">
        <v>201</v>
      </c>
      <c r="E327" s="252" t="s">
        <v>46</v>
      </c>
      <c r="F327" s="253" t="s">
        <v>250</v>
      </c>
      <c r="G327" s="253" t="s">
        <v>251</v>
      </c>
      <c r="H327" s="254">
        <v>24.2</v>
      </c>
      <c r="I327" s="254">
        <v>25.1</v>
      </c>
      <c r="J327" s="254">
        <v>221.74459999999999</v>
      </c>
      <c r="K327" s="254">
        <v>229.9913</v>
      </c>
      <c r="L327" s="254">
        <v>-8.2467000000000041</v>
      </c>
      <c r="M327" s="254">
        <v>-3.58565737051793</v>
      </c>
    </row>
    <row r="328" spans="1:13" ht="25.05" customHeight="1" x14ac:dyDescent="0.3">
      <c r="A328" s="253" t="s">
        <v>502</v>
      </c>
      <c r="B328" s="252" t="s">
        <v>510</v>
      </c>
      <c r="C328" s="252" t="s">
        <v>511</v>
      </c>
      <c r="D328" s="252" t="s">
        <v>89</v>
      </c>
      <c r="E328" s="252" t="s">
        <v>46</v>
      </c>
      <c r="F328" s="253" t="s">
        <v>250</v>
      </c>
      <c r="G328" s="253" t="s">
        <v>251</v>
      </c>
      <c r="H328" s="254">
        <v>24.599999999999998</v>
      </c>
      <c r="I328" s="254">
        <v>28.9</v>
      </c>
      <c r="J328" s="254">
        <v>225.40979999999996</v>
      </c>
      <c r="K328" s="254">
        <v>264.8107</v>
      </c>
      <c r="L328" s="254">
        <v>-39.400900000000036</v>
      </c>
      <c r="M328" s="254">
        <v>-14.878892733564028</v>
      </c>
    </row>
    <row r="329" spans="1:13" ht="25.05" customHeight="1" x14ac:dyDescent="0.3">
      <c r="A329" s="253" t="s">
        <v>502</v>
      </c>
      <c r="B329" s="252" t="s">
        <v>512</v>
      </c>
      <c r="C329" s="252" t="s">
        <v>143</v>
      </c>
      <c r="D329" s="252" t="s">
        <v>126</v>
      </c>
      <c r="E329" s="252" t="s">
        <v>40</v>
      </c>
      <c r="F329" s="253" t="s">
        <v>250</v>
      </c>
      <c r="G329" s="253" t="s">
        <v>251</v>
      </c>
      <c r="H329" s="254">
        <v>18.8</v>
      </c>
      <c r="I329" s="254">
        <v>17.7</v>
      </c>
      <c r="J329" s="254">
        <v>172.26439999999999</v>
      </c>
      <c r="K329" s="254">
        <v>162.18509999999998</v>
      </c>
      <c r="L329" s="254">
        <v>10.079300000000018</v>
      </c>
      <c r="M329" s="254">
        <v>6.2146892655367356</v>
      </c>
    </row>
    <row r="330" spans="1:13" ht="25.05" customHeight="1" x14ac:dyDescent="0.3">
      <c r="A330" s="253" t="s">
        <v>502</v>
      </c>
      <c r="B330" s="252" t="s">
        <v>513</v>
      </c>
      <c r="C330" s="252" t="s">
        <v>514</v>
      </c>
      <c r="D330" s="252" t="s">
        <v>89</v>
      </c>
      <c r="E330" s="252" t="s">
        <v>46</v>
      </c>
      <c r="F330" s="253" t="s">
        <v>250</v>
      </c>
      <c r="G330" s="253" t="s">
        <v>251</v>
      </c>
      <c r="H330" s="254">
        <v>9.9</v>
      </c>
      <c r="I330" s="254">
        <v>25.2</v>
      </c>
      <c r="J330" s="254">
        <v>90.713699999999989</v>
      </c>
      <c r="K330" s="254">
        <v>230.90759999999997</v>
      </c>
      <c r="L330" s="254">
        <v>-140.19389999999999</v>
      </c>
      <c r="M330" s="254">
        <v>-60.714285714285708</v>
      </c>
    </row>
    <row r="331" spans="1:13" ht="25.05" customHeight="1" x14ac:dyDescent="0.3">
      <c r="A331" s="253" t="s">
        <v>502</v>
      </c>
      <c r="B331" s="252" t="s">
        <v>515</v>
      </c>
      <c r="C331" s="252" t="s">
        <v>516</v>
      </c>
      <c r="D331" s="252" t="s">
        <v>62</v>
      </c>
      <c r="E331" s="252" t="s">
        <v>46</v>
      </c>
      <c r="F331" s="253" t="s">
        <v>250</v>
      </c>
      <c r="G331" s="253" t="s">
        <v>251</v>
      </c>
      <c r="H331" s="254">
        <v>18</v>
      </c>
      <c r="I331" s="254">
        <v>5.4</v>
      </c>
      <c r="J331" s="254">
        <v>164.934</v>
      </c>
      <c r="K331" s="254">
        <v>49.480199999999996</v>
      </c>
      <c r="L331" s="254">
        <v>115.4538</v>
      </c>
      <c r="M331" s="254">
        <v>233.33333333333334</v>
      </c>
    </row>
    <row r="332" spans="1:13" ht="25.05" customHeight="1" x14ac:dyDescent="0.3">
      <c r="A332" s="253" t="s">
        <v>502</v>
      </c>
      <c r="B332" s="252" t="s">
        <v>517</v>
      </c>
      <c r="C332" s="273" t="s">
        <v>1830</v>
      </c>
      <c r="D332" s="252" t="s">
        <v>201</v>
      </c>
      <c r="E332" s="252" t="s">
        <v>46</v>
      </c>
      <c r="F332" s="253" t="s">
        <v>250</v>
      </c>
      <c r="G332" s="253" t="s">
        <v>251</v>
      </c>
      <c r="H332" s="254">
        <v>14.900000000000002</v>
      </c>
      <c r="I332" s="254">
        <v>12.2</v>
      </c>
      <c r="J332" s="254">
        <v>136.52870000000001</v>
      </c>
      <c r="K332" s="254">
        <v>111.78859999999999</v>
      </c>
      <c r="L332" s="254">
        <v>24.740100000000027</v>
      </c>
      <c r="M332" s="254">
        <v>22.131147540983633</v>
      </c>
    </row>
    <row r="333" spans="1:13" ht="25.05" customHeight="1" x14ac:dyDescent="0.3">
      <c r="A333" s="253" t="s">
        <v>502</v>
      </c>
      <c r="B333" s="252" t="s">
        <v>519</v>
      </c>
      <c r="C333" s="252" t="s">
        <v>520</v>
      </c>
      <c r="D333" s="252" t="s">
        <v>62</v>
      </c>
      <c r="E333" s="252" t="s">
        <v>46</v>
      </c>
      <c r="F333" s="253" t="s">
        <v>250</v>
      </c>
      <c r="G333" s="253" t="s">
        <v>251</v>
      </c>
      <c r="H333" s="254">
        <v>14</v>
      </c>
      <c r="I333" s="254">
        <v>10.399999999999999</v>
      </c>
      <c r="J333" s="254">
        <v>128.28199999999998</v>
      </c>
      <c r="K333" s="254">
        <v>95.29519999999998</v>
      </c>
      <c r="L333" s="254">
        <v>32.986800000000002</v>
      </c>
      <c r="M333" s="254">
        <v>34.615384615384627</v>
      </c>
    </row>
    <row r="334" spans="1:13" ht="25.05" customHeight="1" x14ac:dyDescent="0.3">
      <c r="A334" s="253" t="s">
        <v>502</v>
      </c>
      <c r="B334" s="252" t="s">
        <v>521</v>
      </c>
      <c r="C334" s="252" t="s">
        <v>522</v>
      </c>
      <c r="D334" s="252" t="s">
        <v>113</v>
      </c>
      <c r="E334" s="252" t="s">
        <v>46</v>
      </c>
      <c r="F334" s="253" t="s">
        <v>250</v>
      </c>
      <c r="G334" s="253" t="s">
        <v>251</v>
      </c>
      <c r="H334" s="254">
        <v>13.8</v>
      </c>
      <c r="I334" s="254">
        <v>14</v>
      </c>
      <c r="J334" s="254">
        <v>126.44939999999998</v>
      </c>
      <c r="K334" s="254">
        <v>128.28199999999998</v>
      </c>
      <c r="L334" s="254">
        <v>-1.8325999999999993</v>
      </c>
      <c r="M334" s="254">
        <v>-1.4285714285714282</v>
      </c>
    </row>
    <row r="335" spans="1:13" ht="25.05" customHeight="1" x14ac:dyDescent="0.3">
      <c r="A335" s="253" t="s">
        <v>502</v>
      </c>
      <c r="B335" s="252" t="s">
        <v>523</v>
      </c>
      <c r="C335" s="273" t="s">
        <v>1828</v>
      </c>
      <c r="D335" s="252" t="s">
        <v>129</v>
      </c>
      <c r="E335" s="252" t="s">
        <v>46</v>
      </c>
      <c r="F335" s="253" t="s">
        <v>250</v>
      </c>
      <c r="G335" s="253" t="s">
        <v>251</v>
      </c>
      <c r="H335" s="254">
        <v>13.4</v>
      </c>
      <c r="I335" s="254">
        <v>15</v>
      </c>
      <c r="J335" s="254">
        <v>122.78419999999998</v>
      </c>
      <c r="K335" s="254">
        <v>137.44499999999999</v>
      </c>
      <c r="L335" s="254">
        <v>-14.660800000000009</v>
      </c>
      <c r="M335" s="254">
        <v>-10.666666666666675</v>
      </c>
    </row>
    <row r="336" spans="1:13" ht="25.05" customHeight="1" x14ac:dyDescent="0.3">
      <c r="A336" s="253" t="s">
        <v>502</v>
      </c>
      <c r="B336" s="252" t="s">
        <v>525</v>
      </c>
      <c r="C336" s="252" t="s">
        <v>526</v>
      </c>
      <c r="D336" s="252" t="s">
        <v>129</v>
      </c>
      <c r="E336" s="252" t="s">
        <v>46</v>
      </c>
      <c r="F336" s="253" t="s">
        <v>250</v>
      </c>
      <c r="G336" s="253" t="s">
        <v>251</v>
      </c>
      <c r="H336" s="254">
        <v>9.6000000000000014</v>
      </c>
      <c r="I336" s="254">
        <v>12.3</v>
      </c>
      <c r="J336" s="254">
        <v>87.964800000000011</v>
      </c>
      <c r="K336" s="254">
        <v>112.70489999999999</v>
      </c>
      <c r="L336" s="254">
        <v>-24.740099999999984</v>
      </c>
      <c r="M336" s="254">
        <v>-21.951219512195109</v>
      </c>
    </row>
    <row r="337" spans="1:13" ht="25.05" customHeight="1" x14ac:dyDescent="0.3">
      <c r="A337" s="253" t="s">
        <v>502</v>
      </c>
      <c r="B337" s="252" t="s">
        <v>527</v>
      </c>
      <c r="C337" s="252" t="s">
        <v>528</v>
      </c>
      <c r="D337" s="252" t="s">
        <v>49</v>
      </c>
      <c r="E337" s="252" t="s">
        <v>40</v>
      </c>
      <c r="F337" s="253" t="s">
        <v>250</v>
      </c>
      <c r="G337" s="253" t="s">
        <v>251</v>
      </c>
      <c r="H337" s="254">
        <v>2.7</v>
      </c>
      <c r="I337" s="254">
        <v>0</v>
      </c>
      <c r="J337" s="254">
        <v>24.740099999999998</v>
      </c>
      <c r="K337" s="254">
        <v>0</v>
      </c>
      <c r="L337" s="254">
        <v>24.740099999999998</v>
      </c>
      <c r="M337" s="254" t="s">
        <v>67</v>
      </c>
    </row>
    <row r="338" spans="1:13" ht="25.05" customHeight="1" x14ac:dyDescent="0.3">
      <c r="A338" s="253" t="s">
        <v>502</v>
      </c>
      <c r="B338" s="252" t="s">
        <v>529</v>
      </c>
      <c r="C338" s="252">
        <v>0</v>
      </c>
      <c r="D338" s="252">
        <v>0</v>
      </c>
      <c r="E338" s="252" t="s">
        <v>20</v>
      </c>
      <c r="F338" s="253" t="s">
        <v>250</v>
      </c>
      <c r="G338" s="253" t="s">
        <v>251</v>
      </c>
      <c r="H338" s="254">
        <v>67.800000000000011</v>
      </c>
      <c r="I338" s="254">
        <v>61</v>
      </c>
      <c r="J338" s="254">
        <v>621.2514000000001</v>
      </c>
      <c r="K338" s="254">
        <v>558.94299999999998</v>
      </c>
      <c r="L338" s="254">
        <v>62.30840000000012</v>
      </c>
      <c r="M338" s="254">
        <v>11.14754098360658</v>
      </c>
    </row>
    <row r="339" spans="1:13" ht="25.05" customHeight="1" x14ac:dyDescent="0.3">
      <c r="A339" s="253" t="s">
        <v>502</v>
      </c>
      <c r="B339" s="252" t="s">
        <v>530</v>
      </c>
      <c r="C339" s="252">
        <v>0</v>
      </c>
      <c r="D339" s="252">
        <v>0</v>
      </c>
      <c r="E339" s="252" t="s">
        <v>20</v>
      </c>
      <c r="F339" s="253" t="s">
        <v>250</v>
      </c>
      <c r="G339" s="253" t="s">
        <v>251</v>
      </c>
      <c r="H339" s="254">
        <v>21.1</v>
      </c>
      <c r="I339" s="254">
        <v>39.700000000000003</v>
      </c>
      <c r="J339" s="254">
        <v>193.33929999999998</v>
      </c>
      <c r="K339" s="254">
        <v>363.77109999999999</v>
      </c>
      <c r="L339" s="254">
        <v>-170.43180000000001</v>
      </c>
      <c r="M339" s="254">
        <v>-46.851385390428213</v>
      </c>
    </row>
    <row r="340" spans="1:13" ht="25.05" customHeight="1" x14ac:dyDescent="0.3">
      <c r="A340" s="253" t="s">
        <v>502</v>
      </c>
      <c r="B340" s="252" t="s">
        <v>531</v>
      </c>
      <c r="C340" s="252">
        <v>0</v>
      </c>
      <c r="D340" s="252">
        <v>0</v>
      </c>
      <c r="E340" s="252" t="s">
        <v>20</v>
      </c>
      <c r="F340" s="253" t="s">
        <v>250</v>
      </c>
      <c r="G340" s="253" t="s">
        <v>251</v>
      </c>
      <c r="H340" s="254">
        <v>497.59999999999997</v>
      </c>
      <c r="I340" s="254">
        <v>549.90000000000009</v>
      </c>
      <c r="J340" s="254">
        <v>4559.5087999999987</v>
      </c>
      <c r="K340" s="254">
        <v>5038.7337000000007</v>
      </c>
      <c r="L340" s="254">
        <v>-479.22490000000198</v>
      </c>
      <c r="M340" s="254">
        <v>-9.5108201491180608</v>
      </c>
    </row>
    <row r="341" spans="1:13" ht="25.05" customHeight="1" x14ac:dyDescent="0.3">
      <c r="A341" s="253" t="s">
        <v>502</v>
      </c>
      <c r="B341" s="252" t="s">
        <v>532</v>
      </c>
      <c r="C341" s="252">
        <v>0</v>
      </c>
      <c r="D341" s="252">
        <v>0</v>
      </c>
      <c r="E341" s="252" t="s">
        <v>20</v>
      </c>
      <c r="F341" s="253" t="s">
        <v>250</v>
      </c>
      <c r="G341" s="253" t="s">
        <v>251</v>
      </c>
      <c r="H341" s="254">
        <v>67</v>
      </c>
      <c r="I341" s="254">
        <v>66.3</v>
      </c>
      <c r="J341" s="254">
        <v>613.92099999999994</v>
      </c>
      <c r="K341" s="254">
        <v>607.50689999999997</v>
      </c>
      <c r="L341" s="254">
        <v>6.4140999999999622</v>
      </c>
      <c r="M341" s="254">
        <v>1.0558069381598731</v>
      </c>
    </row>
    <row r="342" spans="1:13" ht="25.05" customHeight="1" x14ac:dyDescent="0.3">
      <c r="A342" s="253" t="s">
        <v>502</v>
      </c>
      <c r="B342" s="252" t="s">
        <v>527</v>
      </c>
      <c r="C342" s="252" t="s">
        <v>528</v>
      </c>
      <c r="D342" s="252" t="s">
        <v>49</v>
      </c>
      <c r="E342" s="252" t="s">
        <v>40</v>
      </c>
      <c r="F342" s="253" t="s">
        <v>250</v>
      </c>
      <c r="G342" s="253" t="s">
        <v>251</v>
      </c>
      <c r="H342" s="254">
        <v>21.2</v>
      </c>
      <c r="I342" s="254">
        <v>0</v>
      </c>
      <c r="J342" s="254">
        <v>194.25559999999999</v>
      </c>
      <c r="K342" s="254">
        <v>0</v>
      </c>
      <c r="L342" s="254">
        <v>194.25559999999999</v>
      </c>
      <c r="M342" s="254" t="s">
        <v>67</v>
      </c>
    </row>
    <row r="343" spans="1:13" ht="25.05" customHeight="1" x14ac:dyDescent="0.3">
      <c r="A343" s="253" t="s">
        <v>502</v>
      </c>
      <c r="B343" s="252" t="s">
        <v>533</v>
      </c>
      <c r="C343" s="252" t="s">
        <v>533</v>
      </c>
      <c r="D343" s="252" t="s">
        <v>129</v>
      </c>
      <c r="E343" s="252" t="s">
        <v>46</v>
      </c>
      <c r="F343" s="253" t="s">
        <v>250</v>
      </c>
      <c r="G343" s="253" t="s">
        <v>251</v>
      </c>
      <c r="H343" s="254">
        <v>9.3000000000000007</v>
      </c>
      <c r="I343" s="254">
        <v>10.5</v>
      </c>
      <c r="J343" s="254">
        <v>85.215899999999991</v>
      </c>
      <c r="K343" s="254">
        <v>96.211499999999987</v>
      </c>
      <c r="L343" s="254">
        <v>-10.995599999999996</v>
      </c>
      <c r="M343" s="254">
        <v>-11.428571428571425</v>
      </c>
    </row>
    <row r="344" spans="1:13" ht="25.05" customHeight="1" x14ac:dyDescent="0.3">
      <c r="A344" s="253" t="s">
        <v>502</v>
      </c>
      <c r="B344" s="252" t="s">
        <v>534</v>
      </c>
      <c r="C344" s="252" t="s">
        <v>535</v>
      </c>
      <c r="D344" s="252" t="s">
        <v>113</v>
      </c>
      <c r="E344" s="252" t="s">
        <v>46</v>
      </c>
      <c r="F344" s="253" t="s">
        <v>250</v>
      </c>
      <c r="G344" s="253" t="s">
        <v>251</v>
      </c>
      <c r="H344" s="254">
        <v>4.4000000000000004</v>
      </c>
      <c r="I344" s="254">
        <v>11</v>
      </c>
      <c r="J344" s="254">
        <v>40.3172</v>
      </c>
      <c r="K344" s="254">
        <v>100.79299999999999</v>
      </c>
      <c r="L344" s="254">
        <v>-60.475799999999992</v>
      </c>
      <c r="M344" s="254">
        <v>-60</v>
      </c>
    </row>
    <row r="345" spans="1:13" ht="25.05" customHeight="1" x14ac:dyDescent="0.3">
      <c r="A345" s="253" t="s">
        <v>502</v>
      </c>
      <c r="B345" s="252" t="s">
        <v>536</v>
      </c>
      <c r="C345" s="252" t="s">
        <v>522</v>
      </c>
      <c r="D345" s="252" t="s">
        <v>129</v>
      </c>
      <c r="E345" s="252" t="s">
        <v>46</v>
      </c>
      <c r="F345" s="253" t="s">
        <v>250</v>
      </c>
      <c r="G345" s="253" t="s">
        <v>251</v>
      </c>
      <c r="H345" s="254">
        <v>0.30000000000000004</v>
      </c>
      <c r="I345" s="254">
        <v>0.5</v>
      </c>
      <c r="J345" s="254">
        <v>2.7489000000000003</v>
      </c>
      <c r="K345" s="254">
        <v>4.5814999999999992</v>
      </c>
      <c r="L345" s="254">
        <v>-1.8325999999999989</v>
      </c>
      <c r="M345" s="254">
        <v>-39.999999999999979</v>
      </c>
    </row>
    <row r="346" spans="1:13" ht="25.05" customHeight="1" x14ac:dyDescent="0.3">
      <c r="A346" s="253" t="s">
        <v>502</v>
      </c>
      <c r="B346" s="252" t="s">
        <v>537</v>
      </c>
      <c r="C346" s="252" t="s">
        <v>504</v>
      </c>
      <c r="D346" s="252" t="s">
        <v>113</v>
      </c>
      <c r="E346" s="252" t="s">
        <v>46</v>
      </c>
      <c r="F346" s="253" t="s">
        <v>250</v>
      </c>
      <c r="G346" s="253" t="s">
        <v>251</v>
      </c>
      <c r="H346" s="254">
        <v>3.0999999999999996</v>
      </c>
      <c r="I346" s="254">
        <v>2.7</v>
      </c>
      <c r="J346" s="254">
        <v>28.405299999999993</v>
      </c>
      <c r="K346" s="254">
        <v>24.740099999999998</v>
      </c>
      <c r="L346" s="254">
        <v>3.6651999999999951</v>
      </c>
      <c r="M346" s="254">
        <v>14.814814814814797</v>
      </c>
    </row>
    <row r="347" spans="1:13" ht="25.05" customHeight="1" x14ac:dyDescent="0.3">
      <c r="A347" s="253" t="s">
        <v>502</v>
      </c>
      <c r="B347" s="252" t="s">
        <v>538</v>
      </c>
      <c r="C347" s="252">
        <v>0</v>
      </c>
      <c r="D347" s="252">
        <v>0</v>
      </c>
      <c r="E347" s="252" t="s">
        <v>20</v>
      </c>
      <c r="F347" s="253" t="s">
        <v>250</v>
      </c>
      <c r="G347" s="253" t="s">
        <v>251</v>
      </c>
      <c r="H347" s="254">
        <v>43.7</v>
      </c>
      <c r="I347" s="254">
        <v>31.5</v>
      </c>
      <c r="J347" s="254">
        <v>400.42309999999998</v>
      </c>
      <c r="K347" s="254">
        <v>288.6345</v>
      </c>
      <c r="L347" s="254">
        <v>111.78859999999997</v>
      </c>
      <c r="M347" s="254">
        <v>38.73015873015872</v>
      </c>
    </row>
    <row r="348" spans="1:13" ht="25.05" customHeight="1" x14ac:dyDescent="0.3">
      <c r="A348" s="253" t="s">
        <v>502</v>
      </c>
      <c r="B348" s="252" t="s">
        <v>539</v>
      </c>
      <c r="C348" s="252" t="s">
        <v>540</v>
      </c>
      <c r="D348" s="252" t="s">
        <v>113</v>
      </c>
      <c r="E348" s="252" t="s">
        <v>46</v>
      </c>
      <c r="F348" s="253" t="s">
        <v>250</v>
      </c>
      <c r="G348" s="253" t="s">
        <v>251</v>
      </c>
      <c r="H348" s="254">
        <v>44.7</v>
      </c>
      <c r="I348" s="254">
        <v>49.8</v>
      </c>
      <c r="J348" s="254">
        <v>409.58609999999999</v>
      </c>
      <c r="K348" s="254">
        <v>456.31739999999996</v>
      </c>
      <c r="L348" s="254">
        <v>-46.731299999999976</v>
      </c>
      <c r="M348" s="254">
        <v>-10.240963855421683</v>
      </c>
    </row>
    <row r="349" spans="1:13" ht="25.05" customHeight="1" x14ac:dyDescent="0.3">
      <c r="A349" s="253" t="s">
        <v>502</v>
      </c>
      <c r="B349" s="252" t="s">
        <v>541</v>
      </c>
      <c r="C349" s="252" t="s">
        <v>542</v>
      </c>
      <c r="D349" s="252" t="s">
        <v>113</v>
      </c>
      <c r="E349" s="252" t="s">
        <v>46</v>
      </c>
      <c r="F349" s="253" t="s">
        <v>250</v>
      </c>
      <c r="G349" s="253" t="s">
        <v>251</v>
      </c>
      <c r="H349" s="254">
        <v>29.8</v>
      </c>
      <c r="I349" s="254">
        <v>28.1</v>
      </c>
      <c r="J349" s="254">
        <v>273.05739999999997</v>
      </c>
      <c r="K349" s="254">
        <v>257.4803</v>
      </c>
      <c r="L349" s="254">
        <v>15.577099999999973</v>
      </c>
      <c r="M349" s="254">
        <v>6.0498220640569293</v>
      </c>
    </row>
    <row r="350" spans="1:13" ht="25.05" customHeight="1" x14ac:dyDescent="0.3">
      <c r="A350" s="253" t="s">
        <v>502</v>
      </c>
      <c r="B350" s="252" t="s">
        <v>543</v>
      </c>
      <c r="C350" s="252">
        <v>0</v>
      </c>
      <c r="D350" s="252">
        <v>0</v>
      </c>
      <c r="E350" s="252" t="s">
        <v>20</v>
      </c>
      <c r="F350" s="253" t="s">
        <v>250</v>
      </c>
      <c r="G350" s="253" t="s">
        <v>251</v>
      </c>
      <c r="H350" s="254">
        <v>122.1</v>
      </c>
      <c r="I350" s="254">
        <v>127.4</v>
      </c>
      <c r="J350" s="254">
        <v>1118.8022999999998</v>
      </c>
      <c r="K350" s="254">
        <v>1167.3661999999999</v>
      </c>
      <c r="L350" s="254">
        <v>-48.563900000000103</v>
      </c>
      <c r="M350" s="254">
        <v>-4.1601255886970261</v>
      </c>
    </row>
    <row r="351" spans="1:13" ht="25.05" customHeight="1" x14ac:dyDescent="0.3">
      <c r="A351" s="253" t="s">
        <v>502</v>
      </c>
      <c r="B351" s="252" t="s">
        <v>503</v>
      </c>
      <c r="C351" s="252" t="s">
        <v>504</v>
      </c>
      <c r="D351" s="252" t="s">
        <v>113</v>
      </c>
      <c r="E351" s="252" t="s">
        <v>46</v>
      </c>
      <c r="F351" s="253" t="s">
        <v>250</v>
      </c>
      <c r="G351" s="253" t="s">
        <v>251</v>
      </c>
      <c r="H351" s="254">
        <v>73.800000000000011</v>
      </c>
      <c r="I351" s="254">
        <v>56.3</v>
      </c>
      <c r="J351" s="254">
        <v>676.22940000000006</v>
      </c>
      <c r="K351" s="254">
        <v>515.87689999999998</v>
      </c>
      <c r="L351" s="254">
        <v>160.35250000000008</v>
      </c>
      <c r="M351" s="254">
        <v>31.083481349911207</v>
      </c>
    </row>
    <row r="352" spans="1:13" ht="25.05" customHeight="1" x14ac:dyDescent="0.3">
      <c r="A352" s="253" t="s">
        <v>502</v>
      </c>
      <c r="B352" s="252" t="s">
        <v>533</v>
      </c>
      <c r="C352" s="252" t="s">
        <v>533</v>
      </c>
      <c r="D352" s="252" t="s">
        <v>129</v>
      </c>
      <c r="E352" s="252" t="s">
        <v>46</v>
      </c>
      <c r="F352" s="253" t="s">
        <v>250</v>
      </c>
      <c r="G352" s="253" t="s">
        <v>251</v>
      </c>
      <c r="H352" s="254">
        <v>23.9</v>
      </c>
      <c r="I352" s="254">
        <v>23.400000000000002</v>
      </c>
      <c r="J352" s="254">
        <v>218.99569999999997</v>
      </c>
      <c r="K352" s="254">
        <v>214.41420000000002</v>
      </c>
      <c r="L352" s="254">
        <v>4.5814999999999486</v>
      </c>
      <c r="M352" s="254">
        <v>2.1367521367521123</v>
      </c>
    </row>
    <row r="353" spans="1:13" ht="25.05" customHeight="1" x14ac:dyDescent="0.3">
      <c r="A353" s="253" t="s">
        <v>502</v>
      </c>
      <c r="B353" s="252" t="s">
        <v>536</v>
      </c>
      <c r="C353" s="252" t="s">
        <v>522</v>
      </c>
      <c r="D353" s="252" t="s">
        <v>129</v>
      </c>
      <c r="E353" s="252" t="s">
        <v>46</v>
      </c>
      <c r="F353" s="253" t="s">
        <v>250</v>
      </c>
      <c r="G353" s="253" t="s">
        <v>251</v>
      </c>
      <c r="H353" s="254">
        <v>1.6999999999999997</v>
      </c>
      <c r="I353" s="254">
        <v>3.1</v>
      </c>
      <c r="J353" s="254">
        <v>15.577099999999996</v>
      </c>
      <c r="K353" s="254">
        <v>28.405299999999997</v>
      </c>
      <c r="L353" s="254">
        <v>-12.828200000000001</v>
      </c>
      <c r="M353" s="254">
        <v>-45.161290322580655</v>
      </c>
    </row>
    <row r="354" spans="1:13" ht="25.05" customHeight="1" x14ac:dyDescent="0.3">
      <c r="A354" s="253" t="s">
        <v>502</v>
      </c>
      <c r="B354" s="252" t="s">
        <v>544</v>
      </c>
      <c r="C354" s="252">
        <v>0</v>
      </c>
      <c r="D354" s="252">
        <v>0</v>
      </c>
      <c r="E354" s="252" t="s">
        <v>20</v>
      </c>
      <c r="F354" s="253" t="s">
        <v>250</v>
      </c>
      <c r="G354" s="253" t="s">
        <v>251</v>
      </c>
      <c r="H354" s="254">
        <v>110.69999999999999</v>
      </c>
      <c r="I354" s="254">
        <v>90.300000000000011</v>
      </c>
      <c r="J354" s="254">
        <v>1014.3440999999998</v>
      </c>
      <c r="K354" s="254">
        <v>827.41890000000012</v>
      </c>
      <c r="L354" s="254">
        <v>186.92519999999968</v>
      </c>
      <c r="M354" s="254">
        <v>22.591362126245805</v>
      </c>
    </row>
    <row r="355" spans="1:13" ht="25.05" customHeight="1" x14ac:dyDescent="0.3">
      <c r="A355" s="267" t="s">
        <v>502</v>
      </c>
      <c r="B355" s="268" t="s">
        <v>101</v>
      </c>
      <c r="C355" s="268">
        <v>0</v>
      </c>
      <c r="D355" s="268">
        <v>0</v>
      </c>
      <c r="E355" s="268" t="s">
        <v>20</v>
      </c>
      <c r="F355" s="267" t="s">
        <v>250</v>
      </c>
      <c r="G355" s="267" t="s">
        <v>251</v>
      </c>
      <c r="H355" s="269">
        <v>963.50000000000011</v>
      </c>
      <c r="I355" s="269">
        <v>983.59999999999991</v>
      </c>
      <c r="J355" s="269">
        <v>8828.5505000000012</v>
      </c>
      <c r="K355" s="269">
        <v>9012.7267999999985</v>
      </c>
      <c r="L355" s="269">
        <v>-184.17629999999735</v>
      </c>
      <c r="M355" s="269">
        <v>-2.0435136234241273</v>
      </c>
    </row>
    <row r="356" spans="1:13" ht="25.05" customHeight="1" x14ac:dyDescent="0.3">
      <c r="A356" s="253" t="s">
        <v>545</v>
      </c>
      <c r="B356" s="252" t="s">
        <v>1731</v>
      </c>
      <c r="C356" s="273" t="s">
        <v>1829</v>
      </c>
      <c r="D356" s="252" t="s">
        <v>201</v>
      </c>
      <c r="E356" s="252" t="s">
        <v>46</v>
      </c>
      <c r="F356" s="253" t="s">
        <v>250</v>
      </c>
      <c r="G356" s="253" t="s">
        <v>251</v>
      </c>
      <c r="H356" s="254">
        <v>40.6</v>
      </c>
      <c r="I356" s="254">
        <v>7.8</v>
      </c>
      <c r="J356" s="254">
        <v>391.34339999999997</v>
      </c>
      <c r="K356" s="254">
        <v>75.184200000000004</v>
      </c>
      <c r="L356" s="254">
        <v>316.15919999999994</v>
      </c>
      <c r="M356" s="254">
        <v>420.51282051282044</v>
      </c>
    </row>
    <row r="357" spans="1:13" ht="25.05" customHeight="1" x14ac:dyDescent="0.3">
      <c r="A357" s="253" t="s">
        <v>545</v>
      </c>
      <c r="B357" s="252" t="s">
        <v>546</v>
      </c>
      <c r="C357" s="252" t="s">
        <v>547</v>
      </c>
      <c r="D357" s="252" t="s">
        <v>201</v>
      </c>
      <c r="E357" s="252" t="s">
        <v>40</v>
      </c>
      <c r="F357" s="253" t="s">
        <v>250</v>
      </c>
      <c r="G357" s="253" t="s">
        <v>251</v>
      </c>
      <c r="H357" s="254">
        <v>33</v>
      </c>
      <c r="I357" s="254">
        <v>28.6</v>
      </c>
      <c r="J357" s="254">
        <v>318.08699999999999</v>
      </c>
      <c r="K357" s="254">
        <v>275.67540000000002</v>
      </c>
      <c r="L357" s="254">
        <v>42.411599999999964</v>
      </c>
      <c r="M357" s="254">
        <v>15.384615384615371</v>
      </c>
    </row>
    <row r="358" spans="1:13" ht="25.05" customHeight="1" x14ac:dyDescent="0.3">
      <c r="A358" s="253" t="s">
        <v>545</v>
      </c>
      <c r="B358" s="252" t="s">
        <v>548</v>
      </c>
      <c r="C358" s="252" t="s">
        <v>549</v>
      </c>
      <c r="D358" s="252" t="s">
        <v>62</v>
      </c>
      <c r="E358" s="252" t="s">
        <v>46</v>
      </c>
      <c r="F358" s="253" t="s">
        <v>250</v>
      </c>
      <c r="G358" s="253" t="s">
        <v>251</v>
      </c>
      <c r="H358" s="254">
        <v>16.299999999999997</v>
      </c>
      <c r="I358" s="254">
        <v>16.100000000000001</v>
      </c>
      <c r="J358" s="254">
        <v>157.11569999999998</v>
      </c>
      <c r="K358" s="254">
        <v>155.18790000000001</v>
      </c>
      <c r="L358" s="254">
        <v>1.9277999999999622</v>
      </c>
      <c r="M358" s="254">
        <v>1.242236024844696</v>
      </c>
    </row>
    <row r="359" spans="1:13" ht="25.05" customHeight="1" x14ac:dyDescent="0.3">
      <c r="A359" s="253" t="s">
        <v>545</v>
      </c>
      <c r="B359" s="252" t="s">
        <v>550</v>
      </c>
      <c r="C359" s="252" t="s">
        <v>551</v>
      </c>
      <c r="D359" s="252" t="s">
        <v>258</v>
      </c>
      <c r="E359" s="252" t="s">
        <v>40</v>
      </c>
      <c r="F359" s="253" t="s">
        <v>250</v>
      </c>
      <c r="G359" s="253" t="s">
        <v>251</v>
      </c>
      <c r="H359" s="254">
        <v>13.6</v>
      </c>
      <c r="I359" s="254">
        <v>13.100000000000001</v>
      </c>
      <c r="J359" s="254">
        <v>131.09039999999999</v>
      </c>
      <c r="K359" s="254">
        <v>126.27090000000001</v>
      </c>
      <c r="L359" s="254">
        <v>4.8194999999999766</v>
      </c>
      <c r="M359" s="254">
        <v>3.8167938931297525</v>
      </c>
    </row>
    <row r="360" spans="1:13" ht="25.05" customHeight="1" x14ac:dyDescent="0.3">
      <c r="A360" s="253" t="s">
        <v>545</v>
      </c>
      <c r="B360" s="252" t="s">
        <v>552</v>
      </c>
      <c r="C360" s="252" t="s">
        <v>553</v>
      </c>
      <c r="D360" s="252" t="s">
        <v>201</v>
      </c>
      <c r="E360" s="252" t="s">
        <v>46</v>
      </c>
      <c r="F360" s="253" t="s">
        <v>250</v>
      </c>
      <c r="G360" s="253" t="s">
        <v>251</v>
      </c>
      <c r="H360" s="254">
        <v>9.3999999999999986</v>
      </c>
      <c r="I360" s="254">
        <v>9.6999999999999993</v>
      </c>
      <c r="J360" s="254">
        <v>90.606599999999986</v>
      </c>
      <c r="K360" s="254">
        <v>93.4983</v>
      </c>
      <c r="L360" s="254">
        <v>-2.8917000000000144</v>
      </c>
      <c r="M360" s="254">
        <v>-3.0927835051546544</v>
      </c>
    </row>
    <row r="361" spans="1:13" ht="25.05" customHeight="1" x14ac:dyDescent="0.3">
      <c r="A361" s="253" t="s">
        <v>545</v>
      </c>
      <c r="B361" s="252" t="s">
        <v>290</v>
      </c>
      <c r="C361" s="252" t="s">
        <v>291</v>
      </c>
      <c r="D361" s="252" t="s">
        <v>89</v>
      </c>
      <c r="E361" s="252" t="s">
        <v>46</v>
      </c>
      <c r="F361" s="253" t="s">
        <v>250</v>
      </c>
      <c r="G361" s="253" t="s">
        <v>251</v>
      </c>
      <c r="H361" s="254">
        <v>3.7</v>
      </c>
      <c r="I361" s="254">
        <v>4.1999999999999993</v>
      </c>
      <c r="J361" s="254">
        <v>35.664299999999997</v>
      </c>
      <c r="K361" s="254">
        <v>40.483799999999988</v>
      </c>
      <c r="L361" s="254">
        <v>-4.8194999999999908</v>
      </c>
      <c r="M361" s="254">
        <v>-11.904761904761886</v>
      </c>
    </row>
    <row r="362" spans="1:13" ht="25.05" customHeight="1" x14ac:dyDescent="0.3">
      <c r="A362" s="253" t="s">
        <v>545</v>
      </c>
      <c r="B362" s="252" t="s">
        <v>554</v>
      </c>
      <c r="C362" s="252" t="s">
        <v>555</v>
      </c>
      <c r="D362" s="252" t="s">
        <v>62</v>
      </c>
      <c r="E362" s="252" t="s">
        <v>46</v>
      </c>
      <c r="F362" s="253" t="s">
        <v>250</v>
      </c>
      <c r="G362" s="253" t="s">
        <v>251</v>
      </c>
      <c r="H362" s="254">
        <v>209.5</v>
      </c>
      <c r="I362" s="254">
        <v>187</v>
      </c>
      <c r="J362" s="254">
        <v>2019.3705</v>
      </c>
      <c r="K362" s="254">
        <v>1802.4929999999999</v>
      </c>
      <c r="L362" s="254">
        <v>216.87750000000005</v>
      </c>
      <c r="M362" s="254">
        <v>12.032085561497329</v>
      </c>
    </row>
    <row r="363" spans="1:13" ht="25.05" customHeight="1" x14ac:dyDescent="0.3">
      <c r="A363" s="253" t="s">
        <v>545</v>
      </c>
      <c r="B363" s="252" t="s">
        <v>556</v>
      </c>
      <c r="C363" s="252" t="s">
        <v>557</v>
      </c>
      <c r="D363" s="252" t="s">
        <v>62</v>
      </c>
      <c r="E363" s="252" t="s">
        <v>46</v>
      </c>
      <c r="F363" s="253" t="s">
        <v>250</v>
      </c>
      <c r="G363" s="253" t="s">
        <v>251</v>
      </c>
      <c r="H363" s="254">
        <v>1.4999999999999996</v>
      </c>
      <c r="I363" s="254">
        <v>7.8</v>
      </c>
      <c r="J363" s="254">
        <v>14.458499999999995</v>
      </c>
      <c r="K363" s="254">
        <v>75.184200000000004</v>
      </c>
      <c r="L363" s="254">
        <v>-60.72570000000001</v>
      </c>
      <c r="M363" s="254">
        <v>-80.769230769230788</v>
      </c>
    </row>
    <row r="364" spans="1:13" ht="25.05" customHeight="1" x14ac:dyDescent="0.3">
      <c r="A364" s="253" t="s">
        <v>545</v>
      </c>
      <c r="B364" s="252" t="s">
        <v>558</v>
      </c>
      <c r="C364" s="252" t="s">
        <v>559</v>
      </c>
      <c r="D364" s="252" t="s">
        <v>129</v>
      </c>
      <c r="E364" s="252" t="s">
        <v>46</v>
      </c>
      <c r="F364" s="253" t="s">
        <v>250</v>
      </c>
      <c r="G364" s="253" t="s">
        <v>251</v>
      </c>
      <c r="H364" s="254">
        <v>6.6999999999999993</v>
      </c>
      <c r="I364" s="254">
        <v>7.8999999999999995</v>
      </c>
      <c r="J364" s="254">
        <v>64.581299999999985</v>
      </c>
      <c r="K364" s="254">
        <v>76.148099999999985</v>
      </c>
      <c r="L364" s="254">
        <v>-11.566800000000001</v>
      </c>
      <c r="M364" s="254">
        <v>-15.189873417721522</v>
      </c>
    </row>
    <row r="365" spans="1:13" ht="25.05" customHeight="1" x14ac:dyDescent="0.3">
      <c r="A365" s="253" t="s">
        <v>545</v>
      </c>
      <c r="B365" s="252" t="s">
        <v>560</v>
      </c>
      <c r="C365" s="252" t="s">
        <v>561</v>
      </c>
      <c r="D365" s="252" t="s">
        <v>201</v>
      </c>
      <c r="E365" s="252" t="s">
        <v>46</v>
      </c>
      <c r="F365" s="253" t="s">
        <v>250</v>
      </c>
      <c r="G365" s="253" t="s">
        <v>251</v>
      </c>
      <c r="H365" s="254">
        <v>5.2</v>
      </c>
      <c r="I365" s="254">
        <v>6.7</v>
      </c>
      <c r="J365" s="254">
        <v>50.122799999999998</v>
      </c>
      <c r="K365" s="254">
        <v>64.581299999999999</v>
      </c>
      <c r="L365" s="254">
        <v>-14.458500000000001</v>
      </c>
      <c r="M365" s="254">
        <v>-22.388059701492537</v>
      </c>
    </row>
    <row r="366" spans="1:13" ht="25.05" customHeight="1" x14ac:dyDescent="0.3">
      <c r="A366" s="253" t="s">
        <v>545</v>
      </c>
      <c r="B366" s="252" t="s">
        <v>562</v>
      </c>
      <c r="C366" s="252">
        <v>0</v>
      </c>
      <c r="D366" s="252">
        <v>0</v>
      </c>
      <c r="E366" s="252" t="s">
        <v>20</v>
      </c>
      <c r="F366" s="253" t="s">
        <v>250</v>
      </c>
      <c r="G366" s="253" t="s">
        <v>251</v>
      </c>
      <c r="H366" s="254">
        <v>7.5000000000000009</v>
      </c>
      <c r="I366" s="254">
        <v>11.3</v>
      </c>
      <c r="J366" s="254">
        <v>72.292500000000004</v>
      </c>
      <c r="K366" s="254">
        <v>108.9207</v>
      </c>
      <c r="L366" s="254">
        <v>-36.628199999999993</v>
      </c>
      <c r="M366" s="254">
        <v>-33.62831858407079</v>
      </c>
    </row>
    <row r="367" spans="1:13" ht="25.05" customHeight="1" x14ac:dyDescent="0.3">
      <c r="A367" s="253" t="s">
        <v>545</v>
      </c>
      <c r="B367" s="252" t="s">
        <v>563</v>
      </c>
      <c r="C367" s="252" t="s">
        <v>564</v>
      </c>
      <c r="D367" s="252" t="s">
        <v>221</v>
      </c>
      <c r="E367" s="252" t="s">
        <v>46</v>
      </c>
      <c r="F367" s="253" t="s">
        <v>250</v>
      </c>
      <c r="G367" s="253" t="s">
        <v>251</v>
      </c>
      <c r="H367" s="254">
        <v>31</v>
      </c>
      <c r="I367" s="254">
        <v>34.400000000000006</v>
      </c>
      <c r="J367" s="254">
        <v>298.80900000000003</v>
      </c>
      <c r="K367" s="254">
        <v>331.58160000000009</v>
      </c>
      <c r="L367" s="254">
        <v>-32.772600000000068</v>
      </c>
      <c r="M367" s="254">
        <v>-9.8837209302325757</v>
      </c>
    </row>
    <row r="368" spans="1:13" ht="25.05" customHeight="1" x14ac:dyDescent="0.3">
      <c r="A368" s="253" t="s">
        <v>545</v>
      </c>
      <c r="B368" s="252" t="s">
        <v>565</v>
      </c>
      <c r="C368" s="252" t="s">
        <v>566</v>
      </c>
      <c r="D368" s="252" t="s">
        <v>62</v>
      </c>
      <c r="E368" s="252" t="s">
        <v>46</v>
      </c>
      <c r="F368" s="253" t="s">
        <v>250</v>
      </c>
      <c r="G368" s="253" t="s">
        <v>251</v>
      </c>
      <c r="H368" s="254">
        <v>26.2</v>
      </c>
      <c r="I368" s="254">
        <v>22</v>
      </c>
      <c r="J368" s="254">
        <v>252.54179999999999</v>
      </c>
      <c r="K368" s="254">
        <v>212.05799999999999</v>
      </c>
      <c r="L368" s="254">
        <v>40.483800000000002</v>
      </c>
      <c r="M368" s="254">
        <v>19.090909090909093</v>
      </c>
    </row>
    <row r="369" spans="1:13" ht="25.05" customHeight="1" x14ac:dyDescent="0.3">
      <c r="A369" s="253" t="s">
        <v>545</v>
      </c>
      <c r="B369" s="252" t="s">
        <v>567</v>
      </c>
      <c r="C369" s="252" t="s">
        <v>568</v>
      </c>
      <c r="D369" s="252" t="s">
        <v>221</v>
      </c>
      <c r="E369" s="252" t="s">
        <v>46</v>
      </c>
      <c r="F369" s="253" t="s">
        <v>250</v>
      </c>
      <c r="G369" s="253" t="s">
        <v>251</v>
      </c>
      <c r="H369" s="254">
        <v>2.2999999999999998</v>
      </c>
      <c r="I369" s="254">
        <v>1.7999999999999998</v>
      </c>
      <c r="J369" s="254">
        <v>22.169699999999999</v>
      </c>
      <c r="K369" s="254">
        <v>17.350199999999997</v>
      </c>
      <c r="L369" s="254">
        <v>4.8195000000000014</v>
      </c>
      <c r="M369" s="254">
        <v>27.777777777777789</v>
      </c>
    </row>
    <row r="370" spans="1:13" ht="25.05" customHeight="1" x14ac:dyDescent="0.3">
      <c r="A370" s="253" t="s">
        <v>545</v>
      </c>
      <c r="B370" s="252" t="s">
        <v>569</v>
      </c>
      <c r="C370" s="252" t="s">
        <v>570</v>
      </c>
      <c r="D370" s="252" t="s">
        <v>221</v>
      </c>
      <c r="E370" s="252" t="s">
        <v>46</v>
      </c>
      <c r="F370" s="253" t="s">
        <v>250</v>
      </c>
      <c r="G370" s="253" t="s">
        <v>251</v>
      </c>
      <c r="H370" s="254">
        <v>4.9000000000000004</v>
      </c>
      <c r="I370" s="254">
        <v>4.0999999999999996</v>
      </c>
      <c r="J370" s="254">
        <v>47.231099999999998</v>
      </c>
      <c r="K370" s="254">
        <v>39.5199</v>
      </c>
      <c r="L370" s="254">
        <v>7.7111999999999981</v>
      </c>
      <c r="M370" s="254">
        <v>19.512195121951216</v>
      </c>
    </row>
    <row r="371" spans="1:13" ht="25.05" customHeight="1" x14ac:dyDescent="0.3">
      <c r="A371" s="253" t="s">
        <v>545</v>
      </c>
      <c r="B371" s="252" t="s">
        <v>571</v>
      </c>
      <c r="C371" s="252" t="s">
        <v>572</v>
      </c>
      <c r="D371" s="252" t="s">
        <v>89</v>
      </c>
      <c r="E371" s="252" t="s">
        <v>46</v>
      </c>
      <c r="F371" s="253" t="s">
        <v>250</v>
      </c>
      <c r="G371" s="253" t="s">
        <v>251</v>
      </c>
      <c r="H371" s="254">
        <v>29.800000000000004</v>
      </c>
      <c r="I371" s="254">
        <v>22.1</v>
      </c>
      <c r="J371" s="254">
        <v>287.24220000000003</v>
      </c>
      <c r="K371" s="254">
        <v>213.02189999999999</v>
      </c>
      <c r="L371" s="254">
        <v>74.220300000000037</v>
      </c>
      <c r="M371" s="254">
        <v>34.841628959276036</v>
      </c>
    </row>
    <row r="372" spans="1:13" ht="25.05" customHeight="1" x14ac:dyDescent="0.3">
      <c r="A372" s="267" t="s">
        <v>545</v>
      </c>
      <c r="B372" s="268" t="s">
        <v>38</v>
      </c>
      <c r="C372" s="268">
        <v>0</v>
      </c>
      <c r="D372" s="268">
        <v>0</v>
      </c>
      <c r="E372" s="268" t="s">
        <v>20</v>
      </c>
      <c r="F372" s="267" t="s">
        <v>250</v>
      </c>
      <c r="G372" s="267" t="s">
        <v>251</v>
      </c>
      <c r="H372" s="269">
        <v>520.6</v>
      </c>
      <c r="I372" s="269">
        <v>469.40000000000003</v>
      </c>
      <c r="J372" s="269">
        <v>5018.0634</v>
      </c>
      <c r="K372" s="269">
        <v>4524.5466000000006</v>
      </c>
      <c r="L372" s="269">
        <v>493.51679999999942</v>
      </c>
      <c r="M372" s="269">
        <v>10.907541542394531</v>
      </c>
    </row>
    <row r="373" spans="1:13" ht="25.05" customHeight="1" x14ac:dyDescent="0.3">
      <c r="A373" s="253" t="s">
        <v>573</v>
      </c>
      <c r="B373" s="252" t="s">
        <v>1734</v>
      </c>
      <c r="C373" s="252" t="s">
        <v>1735</v>
      </c>
      <c r="D373" s="252" t="s">
        <v>62</v>
      </c>
      <c r="E373" s="252" t="s">
        <v>46</v>
      </c>
      <c r="F373" s="253" t="s">
        <v>250</v>
      </c>
      <c r="G373" s="253" t="s">
        <v>251</v>
      </c>
      <c r="H373" s="254">
        <v>32.9</v>
      </c>
      <c r="I373" s="254">
        <v>40.5</v>
      </c>
      <c r="J373" s="254">
        <v>312.18809999999996</v>
      </c>
      <c r="K373" s="254">
        <v>384.30449999999996</v>
      </c>
      <c r="L373" s="254">
        <v>-72.116399999999999</v>
      </c>
      <c r="M373" s="254">
        <v>-18.765432098765434</v>
      </c>
    </row>
    <row r="374" spans="1:13" ht="25.05" customHeight="1" x14ac:dyDescent="0.3">
      <c r="A374" s="253" t="s">
        <v>573</v>
      </c>
      <c r="B374" s="252" t="s">
        <v>574</v>
      </c>
      <c r="C374" s="252" t="s">
        <v>139</v>
      </c>
      <c r="D374" s="252" t="s">
        <v>43</v>
      </c>
      <c r="E374" s="252" t="s">
        <v>40</v>
      </c>
      <c r="F374" s="253" t="s">
        <v>250</v>
      </c>
      <c r="G374" s="253" t="s">
        <v>251</v>
      </c>
      <c r="H374" s="254">
        <v>59.8</v>
      </c>
      <c r="I374" s="254">
        <v>59.6</v>
      </c>
      <c r="J374" s="254">
        <v>567.44219999999996</v>
      </c>
      <c r="K374" s="254">
        <v>565.5444</v>
      </c>
      <c r="L374" s="254">
        <v>1.8977999999999611</v>
      </c>
      <c r="M374" s="254">
        <v>0.33557046979865085</v>
      </c>
    </row>
    <row r="375" spans="1:13" ht="25.05" customHeight="1" x14ac:dyDescent="0.3">
      <c r="A375" s="253" t="s">
        <v>573</v>
      </c>
      <c r="B375" s="252" t="s">
        <v>575</v>
      </c>
      <c r="C375" s="252" t="s">
        <v>576</v>
      </c>
      <c r="D375" s="252" t="s">
        <v>62</v>
      </c>
      <c r="E375" s="252" t="s">
        <v>46</v>
      </c>
      <c r="F375" s="253" t="s">
        <v>250</v>
      </c>
      <c r="G375" s="253" t="s">
        <v>251</v>
      </c>
      <c r="H375" s="254">
        <v>26.9</v>
      </c>
      <c r="I375" s="254">
        <v>28.8</v>
      </c>
      <c r="J375" s="254">
        <v>255.25409999999997</v>
      </c>
      <c r="K375" s="254">
        <v>273.28319999999997</v>
      </c>
      <c r="L375" s="254">
        <v>-18.0291</v>
      </c>
      <c r="M375" s="254">
        <v>-6.5972222222222223</v>
      </c>
    </row>
    <row r="376" spans="1:13" ht="25.05" customHeight="1" x14ac:dyDescent="0.3">
      <c r="A376" s="253" t="s">
        <v>573</v>
      </c>
      <c r="B376" s="252" t="s">
        <v>577</v>
      </c>
      <c r="C376" s="252" t="s">
        <v>578</v>
      </c>
      <c r="D376" s="252" t="s">
        <v>62</v>
      </c>
      <c r="E376" s="252" t="s">
        <v>46</v>
      </c>
      <c r="F376" s="253" t="s">
        <v>250</v>
      </c>
      <c r="G376" s="253" t="s">
        <v>251</v>
      </c>
      <c r="H376" s="254">
        <v>26.9</v>
      </c>
      <c r="I376" s="254">
        <v>35.799999999999997</v>
      </c>
      <c r="J376" s="254">
        <v>255.25409999999997</v>
      </c>
      <c r="K376" s="254">
        <v>339.70619999999997</v>
      </c>
      <c r="L376" s="254">
        <v>-84.452100000000002</v>
      </c>
      <c r="M376" s="254">
        <v>-24.860335195530727</v>
      </c>
    </row>
    <row r="377" spans="1:13" ht="25.05" customHeight="1" x14ac:dyDescent="0.3">
      <c r="A377" s="253" t="s">
        <v>573</v>
      </c>
      <c r="B377" s="252" t="s">
        <v>579</v>
      </c>
      <c r="C377" s="252" t="s">
        <v>580</v>
      </c>
      <c r="D377" s="252" t="s">
        <v>62</v>
      </c>
      <c r="E377" s="252" t="s">
        <v>46</v>
      </c>
      <c r="F377" s="253" t="s">
        <v>250</v>
      </c>
      <c r="G377" s="253" t="s">
        <v>251</v>
      </c>
      <c r="H377" s="254">
        <v>26.6</v>
      </c>
      <c r="I377" s="254">
        <v>23.700000000000003</v>
      </c>
      <c r="J377" s="254">
        <v>252.40739999999997</v>
      </c>
      <c r="K377" s="254">
        <v>224.88930000000002</v>
      </c>
      <c r="L377" s="254">
        <v>27.518099999999947</v>
      </c>
      <c r="M377" s="254">
        <v>12.236286919831199</v>
      </c>
    </row>
    <row r="378" spans="1:13" ht="25.05" customHeight="1" x14ac:dyDescent="0.3">
      <c r="A378" s="253" t="s">
        <v>573</v>
      </c>
      <c r="B378" s="252" t="s">
        <v>581</v>
      </c>
      <c r="C378" s="252" t="s">
        <v>582</v>
      </c>
      <c r="D378" s="252" t="s">
        <v>62</v>
      </c>
      <c r="E378" s="252" t="s">
        <v>46</v>
      </c>
      <c r="F378" s="253" t="s">
        <v>250</v>
      </c>
      <c r="G378" s="253" t="s">
        <v>251</v>
      </c>
      <c r="H378" s="254">
        <v>23.4</v>
      </c>
      <c r="I378" s="254">
        <v>24.3</v>
      </c>
      <c r="J378" s="254">
        <v>222.04259999999999</v>
      </c>
      <c r="K378" s="254">
        <v>230.58269999999999</v>
      </c>
      <c r="L378" s="254">
        <v>-8.5400999999999954</v>
      </c>
      <c r="M378" s="254">
        <v>-3.7037037037037019</v>
      </c>
    </row>
    <row r="379" spans="1:13" ht="25.05" customHeight="1" x14ac:dyDescent="0.3">
      <c r="A379" s="253" t="s">
        <v>573</v>
      </c>
      <c r="B379" s="252" t="s">
        <v>583</v>
      </c>
      <c r="C379" s="252" t="s">
        <v>584</v>
      </c>
      <c r="D379" s="252" t="s">
        <v>62</v>
      </c>
      <c r="E379" s="252" t="s">
        <v>46</v>
      </c>
      <c r="F379" s="253" t="s">
        <v>250</v>
      </c>
      <c r="G379" s="253" t="s">
        <v>251</v>
      </c>
      <c r="H379" s="254">
        <v>13.2</v>
      </c>
      <c r="I379" s="254">
        <v>12.299999999999999</v>
      </c>
      <c r="J379" s="254">
        <v>125.25479999999999</v>
      </c>
      <c r="K379" s="254">
        <v>116.71469999999998</v>
      </c>
      <c r="L379" s="254">
        <v>8.5401000000000096</v>
      </c>
      <c r="M379" s="254">
        <v>7.3170731707317165</v>
      </c>
    </row>
    <row r="380" spans="1:13" ht="25.05" customHeight="1" x14ac:dyDescent="0.3">
      <c r="A380" s="253" t="s">
        <v>573</v>
      </c>
      <c r="B380" s="252" t="s">
        <v>585</v>
      </c>
      <c r="C380" s="252" t="s">
        <v>586</v>
      </c>
      <c r="D380" s="252" t="s">
        <v>62</v>
      </c>
      <c r="E380" s="252" t="s">
        <v>46</v>
      </c>
      <c r="F380" s="253" t="s">
        <v>250</v>
      </c>
      <c r="G380" s="253" t="s">
        <v>251</v>
      </c>
      <c r="H380" s="254">
        <v>6.6000000000000005</v>
      </c>
      <c r="I380" s="254">
        <v>6.1</v>
      </c>
      <c r="J380" s="254">
        <v>62.627400000000002</v>
      </c>
      <c r="K380" s="254">
        <v>57.882899999999992</v>
      </c>
      <c r="L380" s="254">
        <v>4.7445000000000093</v>
      </c>
      <c r="M380" s="254">
        <v>8.1967213114754269</v>
      </c>
    </row>
    <row r="381" spans="1:13" ht="25.05" customHeight="1" x14ac:dyDescent="0.3">
      <c r="A381" s="253" t="s">
        <v>573</v>
      </c>
      <c r="B381" s="252" t="s">
        <v>587</v>
      </c>
      <c r="C381" s="252" t="s">
        <v>549</v>
      </c>
      <c r="D381" s="252" t="s">
        <v>62</v>
      </c>
      <c r="E381" s="252" t="s">
        <v>46</v>
      </c>
      <c r="F381" s="253" t="s">
        <v>250</v>
      </c>
      <c r="G381" s="253" t="s">
        <v>251</v>
      </c>
      <c r="H381" s="254">
        <v>4.6000000000000005</v>
      </c>
      <c r="I381" s="254">
        <v>4.5</v>
      </c>
      <c r="J381" s="254">
        <v>43.649400000000007</v>
      </c>
      <c r="K381" s="254">
        <v>42.700499999999998</v>
      </c>
      <c r="L381" s="254">
        <v>0.94890000000000896</v>
      </c>
      <c r="M381" s="254">
        <v>2.2222222222222436</v>
      </c>
    </row>
    <row r="382" spans="1:13" ht="25.05" customHeight="1" x14ac:dyDescent="0.3">
      <c r="A382" s="253" t="s">
        <v>573</v>
      </c>
      <c r="B382" s="252" t="s">
        <v>177</v>
      </c>
      <c r="C382" s="252">
        <v>0</v>
      </c>
      <c r="D382" s="252">
        <v>0</v>
      </c>
      <c r="E382" s="252" t="s">
        <v>20</v>
      </c>
      <c r="F382" s="253" t="s">
        <v>250</v>
      </c>
      <c r="G382" s="253" t="s">
        <v>251</v>
      </c>
      <c r="H382" s="254">
        <v>4.6999999999999993</v>
      </c>
      <c r="I382" s="254">
        <v>2.7</v>
      </c>
      <c r="J382" s="254">
        <v>44.598299999999988</v>
      </c>
      <c r="K382" s="254">
        <v>25.620299999999997</v>
      </c>
      <c r="L382" s="254">
        <v>18.977999999999991</v>
      </c>
      <c r="M382" s="254">
        <v>74.074074074074048</v>
      </c>
    </row>
    <row r="383" spans="1:13" ht="25.05" customHeight="1" x14ac:dyDescent="0.3">
      <c r="A383" s="253" t="s">
        <v>573</v>
      </c>
      <c r="B383" s="252" t="s">
        <v>481</v>
      </c>
      <c r="C383" s="252">
        <v>0</v>
      </c>
      <c r="D383" s="252">
        <v>0</v>
      </c>
      <c r="E383" s="252" t="s">
        <v>20</v>
      </c>
      <c r="F383" s="253" t="s">
        <v>250</v>
      </c>
      <c r="G383" s="253" t="s">
        <v>251</v>
      </c>
      <c r="H383" s="254">
        <v>165.8</v>
      </c>
      <c r="I383" s="254">
        <v>185.60000000000002</v>
      </c>
      <c r="J383" s="254">
        <v>1573.2761999999998</v>
      </c>
      <c r="K383" s="254">
        <v>1761.1584</v>
      </c>
      <c r="L383" s="254">
        <v>-187.88220000000024</v>
      </c>
      <c r="M383" s="254">
        <v>-10.668103448275875</v>
      </c>
    </row>
    <row r="384" spans="1:13" ht="25.05" customHeight="1" x14ac:dyDescent="0.3">
      <c r="A384" s="253" t="s">
        <v>573</v>
      </c>
      <c r="B384" s="252" t="s">
        <v>588</v>
      </c>
      <c r="C384" s="252" t="s">
        <v>589</v>
      </c>
      <c r="D384" s="252" t="s">
        <v>49</v>
      </c>
      <c r="E384" s="252" t="s">
        <v>46</v>
      </c>
      <c r="F384" s="253" t="s">
        <v>250</v>
      </c>
      <c r="G384" s="253" t="s">
        <v>251</v>
      </c>
      <c r="H384" s="254">
        <v>135.19999999999999</v>
      </c>
      <c r="I384" s="254">
        <v>99.8</v>
      </c>
      <c r="J384" s="254">
        <v>1282.9127999999998</v>
      </c>
      <c r="K384" s="254">
        <v>947.0021999999999</v>
      </c>
      <c r="L384" s="254">
        <v>335.91059999999993</v>
      </c>
      <c r="M384" s="254">
        <v>35.47094188376753</v>
      </c>
    </row>
    <row r="385" spans="1:13" ht="25.05" customHeight="1" x14ac:dyDescent="0.3">
      <c r="A385" s="253" t="s">
        <v>573</v>
      </c>
      <c r="B385" s="252" t="s">
        <v>590</v>
      </c>
      <c r="C385" s="252" t="s">
        <v>591</v>
      </c>
      <c r="D385" s="252" t="s">
        <v>49</v>
      </c>
      <c r="E385" s="252" t="s">
        <v>46</v>
      </c>
      <c r="F385" s="253" t="s">
        <v>250</v>
      </c>
      <c r="G385" s="253" t="s">
        <v>251</v>
      </c>
      <c r="H385" s="254">
        <v>37.799999999999997</v>
      </c>
      <c r="I385" s="254">
        <v>40.6</v>
      </c>
      <c r="J385" s="254">
        <v>358.68419999999998</v>
      </c>
      <c r="K385" s="254">
        <v>385.25339999999994</v>
      </c>
      <c r="L385" s="254">
        <v>-26.569199999999967</v>
      </c>
      <c r="M385" s="254">
        <v>-6.8965517241379244</v>
      </c>
    </row>
    <row r="386" spans="1:13" ht="25.05" customHeight="1" x14ac:dyDescent="0.3">
      <c r="A386" s="253" t="s">
        <v>573</v>
      </c>
      <c r="B386" s="252" t="s">
        <v>592</v>
      </c>
      <c r="C386" s="252" t="s">
        <v>593</v>
      </c>
      <c r="D386" s="252" t="s">
        <v>49</v>
      </c>
      <c r="E386" s="252" t="s">
        <v>46</v>
      </c>
      <c r="F386" s="253" t="s">
        <v>250</v>
      </c>
      <c r="G386" s="253" t="s">
        <v>251</v>
      </c>
      <c r="H386" s="254">
        <v>7.2</v>
      </c>
      <c r="I386" s="254">
        <v>7.5</v>
      </c>
      <c r="J386" s="254">
        <v>68.320799999999991</v>
      </c>
      <c r="K386" s="254">
        <v>71.16749999999999</v>
      </c>
      <c r="L386" s="254">
        <v>-2.8466999999999985</v>
      </c>
      <c r="M386" s="254">
        <v>-3.9999999999999987</v>
      </c>
    </row>
    <row r="387" spans="1:13" ht="25.05" customHeight="1" x14ac:dyDescent="0.3">
      <c r="A387" s="253" t="s">
        <v>573</v>
      </c>
      <c r="B387" s="252" t="s">
        <v>177</v>
      </c>
      <c r="C387" s="252">
        <v>0</v>
      </c>
      <c r="D387" s="252">
        <v>0</v>
      </c>
      <c r="E387" s="252" t="s">
        <v>20</v>
      </c>
      <c r="F387" s="253" t="s">
        <v>250</v>
      </c>
      <c r="G387" s="253" t="s">
        <v>251</v>
      </c>
      <c r="H387" s="254">
        <v>6.1999999999999993</v>
      </c>
      <c r="I387" s="254">
        <v>6.1</v>
      </c>
      <c r="J387" s="254">
        <v>58.831799999999987</v>
      </c>
      <c r="K387" s="254">
        <v>57.882899999999992</v>
      </c>
      <c r="L387" s="254">
        <v>0.94889999999999475</v>
      </c>
      <c r="M387" s="254">
        <v>1.6393442622950731</v>
      </c>
    </row>
    <row r="388" spans="1:13" ht="25.05" customHeight="1" x14ac:dyDescent="0.3">
      <c r="A388" s="253" t="s">
        <v>573</v>
      </c>
      <c r="B388" s="252" t="s">
        <v>49</v>
      </c>
      <c r="C388" s="252">
        <v>0</v>
      </c>
      <c r="D388" s="252">
        <v>0</v>
      </c>
      <c r="E388" s="252" t="s">
        <v>20</v>
      </c>
      <c r="F388" s="253" t="s">
        <v>250</v>
      </c>
      <c r="G388" s="253" t="s">
        <v>251</v>
      </c>
      <c r="H388" s="254">
        <v>186.2</v>
      </c>
      <c r="I388" s="254">
        <v>154.30000000000001</v>
      </c>
      <c r="J388" s="254">
        <v>1766.8517999999999</v>
      </c>
      <c r="K388" s="254">
        <v>1464.1526999999999</v>
      </c>
      <c r="L388" s="254">
        <v>302.69910000000004</v>
      </c>
      <c r="M388" s="254">
        <v>20.674011665586526</v>
      </c>
    </row>
    <row r="389" spans="1:13" ht="25.05" customHeight="1" x14ac:dyDescent="0.3">
      <c r="A389" s="253" t="s">
        <v>573</v>
      </c>
      <c r="B389" s="256" t="s">
        <v>594</v>
      </c>
      <c r="C389" s="256" t="s">
        <v>595</v>
      </c>
      <c r="D389" s="256" t="s">
        <v>97</v>
      </c>
      <c r="E389" s="252" t="s">
        <v>46</v>
      </c>
      <c r="F389" s="253" t="s">
        <v>250</v>
      </c>
      <c r="G389" s="253" t="s">
        <v>251</v>
      </c>
      <c r="H389" s="257">
        <v>19.8</v>
      </c>
      <c r="I389" s="257">
        <v>21.1</v>
      </c>
      <c r="J389" s="254">
        <v>187.88219999999998</v>
      </c>
      <c r="K389" s="254">
        <v>200.21789999999999</v>
      </c>
      <c r="L389" s="254">
        <v>-12.335700000000003</v>
      </c>
      <c r="M389" s="254">
        <v>-6.1611374407582957</v>
      </c>
    </row>
    <row r="390" spans="1:13" ht="25.05" customHeight="1" x14ac:dyDescent="0.3">
      <c r="A390" s="253" t="s">
        <v>573</v>
      </c>
      <c r="B390" s="256" t="s">
        <v>596</v>
      </c>
      <c r="C390" s="256" t="s">
        <v>597</v>
      </c>
      <c r="D390" s="256" t="s">
        <v>26</v>
      </c>
      <c r="E390" s="252" t="s">
        <v>46</v>
      </c>
      <c r="F390" s="253" t="s">
        <v>250</v>
      </c>
      <c r="G390" s="253" t="s">
        <v>251</v>
      </c>
      <c r="H390" s="257">
        <v>6.4</v>
      </c>
      <c r="I390" s="257">
        <v>6.4</v>
      </c>
      <c r="J390" s="254">
        <v>60.729599999999998</v>
      </c>
      <c r="K390" s="254">
        <v>60.729599999999998</v>
      </c>
      <c r="L390" s="254">
        <v>0</v>
      </c>
      <c r="M390" s="254">
        <v>0</v>
      </c>
    </row>
    <row r="391" spans="1:13" ht="25.05" customHeight="1" x14ac:dyDescent="0.3">
      <c r="A391" s="253" t="s">
        <v>573</v>
      </c>
      <c r="B391" s="256" t="s">
        <v>598</v>
      </c>
      <c r="C391" s="256" t="s">
        <v>582</v>
      </c>
      <c r="D391" s="256" t="s">
        <v>62</v>
      </c>
      <c r="E391" s="252" t="s">
        <v>46</v>
      </c>
      <c r="F391" s="253" t="s">
        <v>250</v>
      </c>
      <c r="G391" s="253" t="s">
        <v>251</v>
      </c>
      <c r="H391" s="257">
        <v>22</v>
      </c>
      <c r="I391" s="257">
        <v>21.4</v>
      </c>
      <c r="J391" s="254">
        <v>208.75799999999998</v>
      </c>
      <c r="K391" s="254">
        <v>203.06459999999998</v>
      </c>
      <c r="L391" s="254">
        <v>5.6933999999999969</v>
      </c>
      <c r="M391" s="254">
        <v>2.8037383177570079</v>
      </c>
    </row>
    <row r="392" spans="1:13" ht="25.05" customHeight="1" x14ac:dyDescent="0.3">
      <c r="A392" s="253" t="s">
        <v>573</v>
      </c>
      <c r="B392" s="256" t="s">
        <v>599</v>
      </c>
      <c r="C392" s="256" t="s">
        <v>595</v>
      </c>
      <c r="D392" s="256" t="s">
        <v>97</v>
      </c>
      <c r="E392" s="252" t="s">
        <v>46</v>
      </c>
      <c r="F392" s="253" t="s">
        <v>250</v>
      </c>
      <c r="G392" s="253" t="s">
        <v>251</v>
      </c>
      <c r="H392" s="257">
        <v>4</v>
      </c>
      <c r="I392" s="257">
        <v>4.0999999999999996</v>
      </c>
      <c r="J392" s="254">
        <v>37.955999999999996</v>
      </c>
      <c r="K392" s="254">
        <v>38.904899999999998</v>
      </c>
      <c r="L392" s="254">
        <v>-0.94890000000000185</v>
      </c>
      <c r="M392" s="254">
        <v>-2.4390243902439073</v>
      </c>
    </row>
    <row r="393" spans="1:13" ht="25.05" customHeight="1" x14ac:dyDescent="0.3">
      <c r="A393" s="267" t="s">
        <v>573</v>
      </c>
      <c r="B393" s="268" t="s">
        <v>248</v>
      </c>
      <c r="C393" s="268"/>
      <c r="D393" s="268"/>
      <c r="E393" s="268" t="s">
        <v>20</v>
      </c>
      <c r="F393" s="267" t="s">
        <v>250</v>
      </c>
      <c r="G393" s="267" t="s">
        <v>251</v>
      </c>
      <c r="H393" s="269">
        <v>708</v>
      </c>
      <c r="I393" s="269">
        <v>662</v>
      </c>
      <c r="J393" s="269">
        <v>6718.2119999999995</v>
      </c>
      <c r="K393" s="269">
        <v>6281.7179999999998</v>
      </c>
      <c r="L393" s="269">
        <v>436.49399999999969</v>
      </c>
      <c r="M393" s="269">
        <v>6.9486404833836808</v>
      </c>
    </row>
    <row r="394" spans="1:13" ht="25.05" customHeight="1" x14ac:dyDescent="0.3">
      <c r="A394" s="253" t="s">
        <v>600</v>
      </c>
      <c r="B394" s="252" t="s">
        <v>546</v>
      </c>
      <c r="C394" s="252" t="s">
        <v>547</v>
      </c>
      <c r="D394" s="252" t="s">
        <v>201</v>
      </c>
      <c r="E394" s="252" t="s">
        <v>40</v>
      </c>
      <c r="F394" s="253" t="s">
        <v>21</v>
      </c>
      <c r="G394" s="253" t="s">
        <v>22</v>
      </c>
      <c r="H394" s="254">
        <v>5086.1000000000004</v>
      </c>
      <c r="I394" s="254">
        <v>4127.8999999999996</v>
      </c>
      <c r="J394" s="254">
        <v>5086.1000000000004</v>
      </c>
      <c r="K394" s="254">
        <v>4127.8999999999996</v>
      </c>
      <c r="L394" s="254">
        <v>958.20000000000073</v>
      </c>
      <c r="M394" s="254">
        <v>23.212771627219674</v>
      </c>
    </row>
    <row r="395" spans="1:13" ht="25.05" customHeight="1" x14ac:dyDescent="0.3">
      <c r="A395" s="253" t="s">
        <v>600</v>
      </c>
      <c r="B395" s="252" t="s">
        <v>601</v>
      </c>
      <c r="C395" s="252" t="s">
        <v>602</v>
      </c>
      <c r="D395" s="252" t="s">
        <v>201</v>
      </c>
      <c r="E395" s="252" t="s">
        <v>40</v>
      </c>
      <c r="F395" s="253" t="s">
        <v>21</v>
      </c>
      <c r="G395" s="253" t="s">
        <v>22</v>
      </c>
      <c r="H395" s="254">
        <v>2626.2</v>
      </c>
      <c r="I395" s="254">
        <v>2820.7</v>
      </c>
      <c r="J395" s="254">
        <v>2626.2</v>
      </c>
      <c r="K395" s="254">
        <v>2820.7</v>
      </c>
      <c r="L395" s="254">
        <v>-194.5</v>
      </c>
      <c r="M395" s="254">
        <v>-6.8954514836742655</v>
      </c>
    </row>
    <row r="396" spans="1:13" ht="25.05" customHeight="1" x14ac:dyDescent="0.3">
      <c r="A396" s="253" t="s">
        <v>600</v>
      </c>
      <c r="B396" s="252" t="s">
        <v>603</v>
      </c>
      <c r="C396" s="252" t="s">
        <v>604</v>
      </c>
      <c r="D396" s="252" t="s">
        <v>201</v>
      </c>
      <c r="E396" s="252" t="s">
        <v>40</v>
      </c>
      <c r="F396" s="253" t="s">
        <v>21</v>
      </c>
      <c r="G396" s="253" t="s">
        <v>22</v>
      </c>
      <c r="H396" s="254">
        <v>1259.5999999999999</v>
      </c>
      <c r="I396" s="254">
        <v>1290.0999999999999</v>
      </c>
      <c r="J396" s="254">
        <v>1259.5999999999999</v>
      </c>
      <c r="K396" s="254">
        <v>1290.0999999999999</v>
      </c>
      <c r="L396" s="254">
        <v>-30.5</v>
      </c>
      <c r="M396" s="254">
        <v>-2.3641578172234712</v>
      </c>
    </row>
    <row r="397" spans="1:13" ht="25.05" customHeight="1" x14ac:dyDescent="0.3">
      <c r="A397" s="253" t="s">
        <v>600</v>
      </c>
      <c r="B397" s="252" t="s">
        <v>605</v>
      </c>
      <c r="C397" s="252" t="s">
        <v>606</v>
      </c>
      <c r="D397" s="252" t="s">
        <v>201</v>
      </c>
      <c r="E397" s="252" t="s">
        <v>46</v>
      </c>
      <c r="F397" s="253" t="s">
        <v>21</v>
      </c>
      <c r="G397" s="253" t="s">
        <v>22</v>
      </c>
      <c r="H397" s="254">
        <v>1153.8</v>
      </c>
      <c r="I397" s="254">
        <v>944.2</v>
      </c>
      <c r="J397" s="254">
        <v>1153.8</v>
      </c>
      <c r="K397" s="254">
        <v>944.2</v>
      </c>
      <c r="L397" s="254">
        <v>209.59999999999991</v>
      </c>
      <c r="M397" s="254">
        <v>22.198686718915472</v>
      </c>
    </row>
    <row r="398" spans="1:13" ht="25.05" customHeight="1" x14ac:dyDescent="0.3">
      <c r="A398" s="253" t="s">
        <v>600</v>
      </c>
      <c r="B398" s="252" t="s">
        <v>607</v>
      </c>
      <c r="C398" s="252" t="s">
        <v>608</v>
      </c>
      <c r="D398" s="252" t="s">
        <v>201</v>
      </c>
      <c r="E398" s="252" t="s">
        <v>40</v>
      </c>
      <c r="F398" s="253" t="s">
        <v>21</v>
      </c>
      <c r="G398" s="253" t="s">
        <v>22</v>
      </c>
      <c r="H398" s="254">
        <v>1124.4000000000001</v>
      </c>
      <c r="I398" s="254">
        <v>1112.5</v>
      </c>
      <c r="J398" s="254">
        <v>1124.4000000000001</v>
      </c>
      <c r="K398" s="254">
        <v>1112.5</v>
      </c>
      <c r="L398" s="254">
        <v>11.900000000000091</v>
      </c>
      <c r="M398" s="254">
        <v>1.0696629213483229</v>
      </c>
    </row>
    <row r="399" spans="1:13" ht="25.05" customHeight="1" x14ac:dyDescent="0.3">
      <c r="A399" s="253" t="s">
        <v>600</v>
      </c>
      <c r="B399" s="252" t="s">
        <v>609</v>
      </c>
      <c r="C399" s="252" t="s">
        <v>610</v>
      </c>
      <c r="D399" s="252" t="s">
        <v>201</v>
      </c>
      <c r="E399" s="252" t="s">
        <v>46</v>
      </c>
      <c r="F399" s="253" t="s">
        <v>21</v>
      </c>
      <c r="G399" s="253" t="s">
        <v>22</v>
      </c>
      <c r="H399" s="254">
        <v>358.6</v>
      </c>
      <c r="I399" s="254">
        <v>590.6</v>
      </c>
      <c r="J399" s="254">
        <v>358.6</v>
      </c>
      <c r="K399" s="254">
        <v>590.6</v>
      </c>
      <c r="L399" s="254">
        <v>-232</v>
      </c>
      <c r="M399" s="254">
        <v>-39.28208601422282</v>
      </c>
    </row>
    <row r="400" spans="1:13" ht="25.05" customHeight="1" x14ac:dyDescent="0.3">
      <c r="A400" s="253" t="s">
        <v>600</v>
      </c>
      <c r="B400" s="252" t="s">
        <v>209</v>
      </c>
      <c r="C400" s="252">
        <v>0</v>
      </c>
      <c r="D400" s="252" t="s">
        <v>201</v>
      </c>
      <c r="E400" s="252" t="s">
        <v>20</v>
      </c>
      <c r="F400" s="253" t="s">
        <v>21</v>
      </c>
      <c r="G400" s="253" t="s">
        <v>22</v>
      </c>
      <c r="H400" s="254">
        <v>244</v>
      </c>
      <c r="I400" s="254">
        <v>246.1</v>
      </c>
      <c r="J400" s="254">
        <v>244</v>
      </c>
      <c r="K400" s="254">
        <v>246.1</v>
      </c>
      <c r="L400" s="254">
        <v>-2.0999999999999943</v>
      </c>
      <c r="M400" s="254">
        <v>-0.85331166192604402</v>
      </c>
    </row>
    <row r="401" spans="1:13" ht="25.05" customHeight="1" x14ac:dyDescent="0.3">
      <c r="A401" s="253" t="s">
        <v>600</v>
      </c>
      <c r="B401" s="252" t="s">
        <v>611</v>
      </c>
      <c r="C401" s="252">
        <v>0</v>
      </c>
      <c r="D401" s="252" t="s">
        <v>201</v>
      </c>
      <c r="E401" s="252" t="s">
        <v>20</v>
      </c>
      <c r="F401" s="253" t="s">
        <v>21</v>
      </c>
      <c r="G401" s="253" t="s">
        <v>22</v>
      </c>
      <c r="H401" s="254">
        <v>11834.400000000001</v>
      </c>
      <c r="I401" s="254">
        <v>11132.1</v>
      </c>
      <c r="J401" s="254">
        <v>11834.400000000001</v>
      </c>
      <c r="K401" s="254">
        <v>11132.1</v>
      </c>
      <c r="L401" s="254">
        <v>702.30000000000109</v>
      </c>
      <c r="M401" s="254">
        <v>6.3087827094618367</v>
      </c>
    </row>
    <row r="402" spans="1:13" ht="25.05" customHeight="1" x14ac:dyDescent="0.3">
      <c r="A402" s="253" t="s">
        <v>600</v>
      </c>
      <c r="B402" s="252" t="s">
        <v>612</v>
      </c>
      <c r="C402" s="252" t="s">
        <v>613</v>
      </c>
      <c r="D402" s="252" t="s">
        <v>49</v>
      </c>
      <c r="E402" s="252" t="s">
        <v>46</v>
      </c>
      <c r="F402" s="253" t="s">
        <v>21</v>
      </c>
      <c r="G402" s="253" t="s">
        <v>22</v>
      </c>
      <c r="H402" s="254">
        <v>2330</v>
      </c>
      <c r="I402" s="254">
        <v>2115.9</v>
      </c>
      <c r="J402" s="254">
        <v>2330</v>
      </c>
      <c r="K402" s="254">
        <v>2115.9</v>
      </c>
      <c r="L402" s="254">
        <v>214.09999999999991</v>
      </c>
      <c r="M402" s="254">
        <v>10.118625643934019</v>
      </c>
    </row>
    <row r="403" spans="1:13" ht="25.05" customHeight="1" x14ac:dyDescent="0.3">
      <c r="A403" s="253" t="s">
        <v>600</v>
      </c>
      <c r="B403" s="252" t="s">
        <v>614</v>
      </c>
      <c r="C403" s="252" t="s">
        <v>615</v>
      </c>
      <c r="D403" s="252" t="s">
        <v>49</v>
      </c>
      <c r="E403" s="252" t="s">
        <v>40</v>
      </c>
      <c r="F403" s="253" t="s">
        <v>21</v>
      </c>
      <c r="G403" s="253" t="s">
        <v>22</v>
      </c>
      <c r="H403" s="254">
        <v>1032.6999999999998</v>
      </c>
      <c r="I403" s="254">
        <v>925.2</v>
      </c>
      <c r="J403" s="254">
        <v>1032.6999999999998</v>
      </c>
      <c r="K403" s="254">
        <v>925.2</v>
      </c>
      <c r="L403" s="254">
        <v>107.49999999999977</v>
      </c>
      <c r="M403" s="254">
        <v>11.619109381755271</v>
      </c>
    </row>
    <row r="404" spans="1:13" ht="25.05" customHeight="1" x14ac:dyDescent="0.3">
      <c r="A404" s="253" t="s">
        <v>600</v>
      </c>
      <c r="B404" s="252" t="s">
        <v>616</v>
      </c>
      <c r="C404" s="252" t="s">
        <v>617</v>
      </c>
      <c r="D404" s="252" t="s">
        <v>49</v>
      </c>
      <c r="E404" s="252" t="s">
        <v>46</v>
      </c>
      <c r="F404" s="253" t="s">
        <v>21</v>
      </c>
      <c r="G404" s="253" t="s">
        <v>22</v>
      </c>
      <c r="H404" s="254">
        <v>912.6</v>
      </c>
      <c r="I404" s="254">
        <v>579.70000000000005</v>
      </c>
      <c r="J404" s="254">
        <v>912.6</v>
      </c>
      <c r="K404" s="254">
        <v>579.70000000000005</v>
      </c>
      <c r="L404" s="254">
        <v>332.9</v>
      </c>
      <c r="M404" s="254">
        <v>57.426254959461787</v>
      </c>
    </row>
    <row r="405" spans="1:13" ht="25.05" customHeight="1" x14ac:dyDescent="0.3">
      <c r="A405" s="253" t="s">
        <v>600</v>
      </c>
      <c r="B405" s="252" t="s">
        <v>618</v>
      </c>
      <c r="C405" s="252" t="s">
        <v>619</v>
      </c>
      <c r="D405" s="252" t="s">
        <v>49</v>
      </c>
      <c r="E405" s="252" t="s">
        <v>40</v>
      </c>
      <c r="F405" s="253" t="s">
        <v>21</v>
      </c>
      <c r="G405" s="253" t="s">
        <v>22</v>
      </c>
      <c r="H405" s="254">
        <v>536.4</v>
      </c>
      <c r="I405" s="254">
        <v>543.29999999999995</v>
      </c>
      <c r="J405" s="254">
        <v>536.4</v>
      </c>
      <c r="K405" s="254">
        <v>543.29999999999995</v>
      </c>
      <c r="L405" s="254">
        <v>-6.8999999999999773</v>
      </c>
      <c r="M405" s="254">
        <v>-1.2700165654334581</v>
      </c>
    </row>
    <row r="406" spans="1:13" ht="25.05" customHeight="1" x14ac:dyDescent="0.3">
      <c r="A406" s="253" t="s">
        <v>600</v>
      </c>
      <c r="B406" s="252" t="s">
        <v>620</v>
      </c>
      <c r="C406" s="252">
        <v>0</v>
      </c>
      <c r="D406" s="252" t="s">
        <v>49</v>
      </c>
      <c r="E406" s="252" t="s">
        <v>20</v>
      </c>
      <c r="F406" s="253" t="s">
        <v>21</v>
      </c>
      <c r="G406" s="253" t="s">
        <v>22</v>
      </c>
      <c r="H406" s="254">
        <v>507.6</v>
      </c>
      <c r="I406" s="254">
        <v>450.3</v>
      </c>
      <c r="J406" s="254">
        <v>507.6</v>
      </c>
      <c r="K406" s="254">
        <v>450.3</v>
      </c>
      <c r="L406" s="254">
        <v>57.300000000000011</v>
      </c>
      <c r="M406" s="254">
        <v>12.724850099933379</v>
      </c>
    </row>
    <row r="407" spans="1:13" ht="25.05" customHeight="1" x14ac:dyDescent="0.3">
      <c r="A407" s="253" t="s">
        <v>600</v>
      </c>
      <c r="B407" s="252" t="s">
        <v>198</v>
      </c>
      <c r="C407" s="252">
        <v>0</v>
      </c>
      <c r="D407" s="252" t="s">
        <v>49</v>
      </c>
      <c r="E407" s="252" t="s">
        <v>20</v>
      </c>
      <c r="F407" s="253" t="s">
        <v>21</v>
      </c>
      <c r="G407" s="253" t="s">
        <v>22</v>
      </c>
      <c r="H407" s="254">
        <v>5319.2999999999993</v>
      </c>
      <c r="I407" s="254">
        <v>4614.3999999999996</v>
      </c>
      <c r="J407" s="254">
        <v>5319.2999999999993</v>
      </c>
      <c r="K407" s="254">
        <v>4614.3999999999996</v>
      </c>
      <c r="L407" s="254">
        <v>704.89999999999964</v>
      </c>
      <c r="M407" s="254">
        <v>15.276092233009702</v>
      </c>
    </row>
    <row r="408" spans="1:13" ht="25.05" customHeight="1" x14ac:dyDescent="0.3">
      <c r="A408" s="253" t="s">
        <v>600</v>
      </c>
      <c r="B408" s="252" t="s">
        <v>621</v>
      </c>
      <c r="C408" s="252" t="s">
        <v>622</v>
      </c>
      <c r="D408" s="252" t="s">
        <v>43</v>
      </c>
      <c r="E408" s="252" t="s">
        <v>40</v>
      </c>
      <c r="F408" s="253" t="s">
        <v>21</v>
      </c>
      <c r="G408" s="253" t="s">
        <v>22</v>
      </c>
      <c r="H408" s="254">
        <v>1788.5</v>
      </c>
      <c r="I408" s="254">
        <v>1366.4</v>
      </c>
      <c r="J408" s="254">
        <v>1788.5</v>
      </c>
      <c r="K408" s="254">
        <v>1366.4</v>
      </c>
      <c r="L408" s="254">
        <v>422.09999999999991</v>
      </c>
      <c r="M408" s="254">
        <v>30.891393442622945</v>
      </c>
    </row>
    <row r="409" spans="1:13" ht="25.05" customHeight="1" x14ac:dyDescent="0.3">
      <c r="A409" s="253" t="s">
        <v>600</v>
      </c>
      <c r="B409" s="252" t="s">
        <v>623</v>
      </c>
      <c r="C409" s="252" t="s">
        <v>624</v>
      </c>
      <c r="D409" s="252" t="s">
        <v>43</v>
      </c>
      <c r="E409" s="252" t="s">
        <v>46</v>
      </c>
      <c r="F409" s="253" t="s">
        <v>21</v>
      </c>
      <c r="G409" s="253" t="s">
        <v>22</v>
      </c>
      <c r="H409" s="254">
        <v>638.79999999999995</v>
      </c>
      <c r="I409" s="254">
        <v>426.9</v>
      </c>
      <c r="J409" s="254">
        <v>638.79999999999995</v>
      </c>
      <c r="K409" s="254">
        <v>426.9</v>
      </c>
      <c r="L409" s="254">
        <v>211.89999999999998</v>
      </c>
      <c r="M409" s="254">
        <v>49.636917310845632</v>
      </c>
    </row>
    <row r="410" spans="1:13" ht="25.05" customHeight="1" x14ac:dyDescent="0.3">
      <c r="A410" s="253" t="s">
        <v>600</v>
      </c>
      <c r="B410" s="252" t="s">
        <v>625</v>
      </c>
      <c r="C410" s="252">
        <v>0</v>
      </c>
      <c r="D410" s="252" t="s">
        <v>43</v>
      </c>
      <c r="E410" s="252" t="s">
        <v>20</v>
      </c>
      <c r="F410" s="253" t="s">
        <v>21</v>
      </c>
      <c r="G410" s="253" t="s">
        <v>22</v>
      </c>
      <c r="H410" s="254">
        <v>34.6</v>
      </c>
      <c r="I410" s="254">
        <v>0</v>
      </c>
      <c r="J410" s="254">
        <v>34.6</v>
      </c>
      <c r="K410" s="254">
        <v>0</v>
      </c>
      <c r="L410" s="254">
        <v>34.6</v>
      </c>
      <c r="M410" s="254">
        <v>100</v>
      </c>
    </row>
    <row r="411" spans="1:13" ht="25.05" customHeight="1" x14ac:dyDescent="0.3">
      <c r="A411" s="253" t="s">
        <v>600</v>
      </c>
      <c r="B411" s="252" t="s">
        <v>626</v>
      </c>
      <c r="C411" s="252">
        <v>0</v>
      </c>
      <c r="D411" s="252" t="s">
        <v>43</v>
      </c>
      <c r="E411" s="252" t="s">
        <v>20</v>
      </c>
      <c r="F411" s="253" t="s">
        <v>21</v>
      </c>
      <c r="G411" s="253" t="s">
        <v>22</v>
      </c>
      <c r="H411" s="254">
        <v>2461.8999999999996</v>
      </c>
      <c r="I411" s="254">
        <v>1793.3</v>
      </c>
      <c r="J411" s="254">
        <v>2461.8999999999996</v>
      </c>
      <c r="K411" s="254">
        <v>1793.3</v>
      </c>
      <c r="L411" s="254">
        <v>668.59999999999968</v>
      </c>
      <c r="M411" s="254">
        <v>37.283220877711464</v>
      </c>
    </row>
    <row r="412" spans="1:13" ht="25.05" customHeight="1" x14ac:dyDescent="0.3">
      <c r="A412" s="253" t="s">
        <v>600</v>
      </c>
      <c r="B412" s="252" t="s">
        <v>627</v>
      </c>
      <c r="C412" s="252" t="s">
        <v>628</v>
      </c>
      <c r="D412" s="252" t="s">
        <v>62</v>
      </c>
      <c r="E412" s="252" t="s">
        <v>46</v>
      </c>
      <c r="F412" s="253" t="s">
        <v>21</v>
      </c>
      <c r="G412" s="253" t="s">
        <v>22</v>
      </c>
      <c r="H412" s="254">
        <v>767.7</v>
      </c>
      <c r="I412" s="254">
        <v>725.4</v>
      </c>
      <c r="J412" s="254">
        <v>767.7</v>
      </c>
      <c r="K412" s="254">
        <v>725.4</v>
      </c>
      <c r="L412" s="254">
        <v>42.300000000000068</v>
      </c>
      <c r="M412" s="254">
        <v>5.831265508684873</v>
      </c>
    </row>
    <row r="413" spans="1:13" ht="25.05" customHeight="1" x14ac:dyDescent="0.3">
      <c r="A413" s="253" t="s">
        <v>600</v>
      </c>
      <c r="B413" s="252" t="s">
        <v>629</v>
      </c>
      <c r="C413" s="252" t="s">
        <v>630</v>
      </c>
      <c r="D413" s="252" t="s">
        <v>62</v>
      </c>
      <c r="E413" s="252" t="s">
        <v>46</v>
      </c>
      <c r="F413" s="253" t="s">
        <v>21</v>
      </c>
      <c r="G413" s="253" t="s">
        <v>22</v>
      </c>
      <c r="H413" s="254">
        <v>406.6</v>
      </c>
      <c r="I413" s="254">
        <v>418.6</v>
      </c>
      <c r="J413" s="254">
        <v>406.6</v>
      </c>
      <c r="K413" s="254">
        <v>418.6</v>
      </c>
      <c r="L413" s="254">
        <v>-12</v>
      </c>
      <c r="M413" s="254">
        <v>-2.8666985188724317</v>
      </c>
    </row>
    <row r="414" spans="1:13" ht="25.05" customHeight="1" x14ac:dyDescent="0.3">
      <c r="A414" s="253" t="s">
        <v>600</v>
      </c>
      <c r="B414" s="252" t="s">
        <v>631</v>
      </c>
      <c r="C414" s="252" t="s">
        <v>632</v>
      </c>
      <c r="D414" s="252" t="s">
        <v>62</v>
      </c>
      <c r="E414" s="252" t="s">
        <v>40</v>
      </c>
      <c r="F414" s="253" t="s">
        <v>21</v>
      </c>
      <c r="G414" s="253" t="s">
        <v>22</v>
      </c>
      <c r="H414" s="254">
        <v>362.9</v>
      </c>
      <c r="I414" s="254">
        <v>162.6</v>
      </c>
      <c r="J414" s="254">
        <v>362.9</v>
      </c>
      <c r="K414" s="254">
        <v>162.6</v>
      </c>
      <c r="L414" s="254">
        <v>200.29999999999998</v>
      </c>
      <c r="M414" s="254">
        <v>123.18573185731856</v>
      </c>
    </row>
    <row r="415" spans="1:13" ht="25.05" customHeight="1" x14ac:dyDescent="0.3">
      <c r="A415" s="253" t="s">
        <v>600</v>
      </c>
      <c r="B415" s="252" t="s">
        <v>68</v>
      </c>
      <c r="C415" s="252">
        <v>0</v>
      </c>
      <c r="D415" s="252" t="s">
        <v>62</v>
      </c>
      <c r="E415" s="252" t="s">
        <v>20</v>
      </c>
      <c r="F415" s="253" t="s">
        <v>21</v>
      </c>
      <c r="G415" s="253" t="s">
        <v>22</v>
      </c>
      <c r="H415" s="254">
        <v>294.10000000000002</v>
      </c>
      <c r="I415" s="254">
        <v>416.6</v>
      </c>
      <c r="J415" s="254">
        <v>294.10000000000002</v>
      </c>
      <c r="K415" s="254">
        <v>416.6</v>
      </c>
      <c r="L415" s="254">
        <v>-122.5</v>
      </c>
      <c r="M415" s="254">
        <v>-29.404704752760441</v>
      </c>
    </row>
    <row r="416" spans="1:13" ht="25.05" customHeight="1" x14ac:dyDescent="0.3">
      <c r="A416" s="253" t="s">
        <v>600</v>
      </c>
      <c r="B416" s="252" t="s">
        <v>633</v>
      </c>
      <c r="C416" s="252">
        <v>0</v>
      </c>
      <c r="D416" s="252" t="s">
        <v>62</v>
      </c>
      <c r="E416" s="252" t="s">
        <v>20</v>
      </c>
      <c r="F416" s="253" t="s">
        <v>21</v>
      </c>
      <c r="G416" s="253" t="s">
        <v>22</v>
      </c>
      <c r="H416" s="254">
        <v>1831.3</v>
      </c>
      <c r="I416" s="254">
        <v>1722.9</v>
      </c>
      <c r="J416" s="254">
        <v>1831.3</v>
      </c>
      <c r="K416" s="254">
        <v>1722.9</v>
      </c>
      <c r="L416" s="254">
        <v>108.39999999999986</v>
      </c>
      <c r="M416" s="254">
        <v>6.2917174531313407</v>
      </c>
    </row>
    <row r="417" spans="1:13" ht="25.05" customHeight="1" x14ac:dyDescent="0.3">
      <c r="A417" s="253" t="s">
        <v>600</v>
      </c>
      <c r="B417" s="252" t="s">
        <v>634</v>
      </c>
      <c r="C417" s="252" t="s">
        <v>635</v>
      </c>
      <c r="D417" s="252" t="s">
        <v>126</v>
      </c>
      <c r="E417" s="252" t="s">
        <v>46</v>
      </c>
      <c r="F417" s="253" t="s">
        <v>21</v>
      </c>
      <c r="G417" s="253" t="s">
        <v>22</v>
      </c>
      <c r="H417" s="254">
        <v>1046.3</v>
      </c>
      <c r="I417" s="254">
        <v>1404.6</v>
      </c>
      <c r="J417" s="254">
        <v>1046.3</v>
      </c>
      <c r="K417" s="254">
        <v>1404.6</v>
      </c>
      <c r="L417" s="254">
        <v>-358.29999999999995</v>
      </c>
      <c r="M417" s="254">
        <v>-25.509041720062648</v>
      </c>
    </row>
    <row r="418" spans="1:13" ht="25.05" customHeight="1" x14ac:dyDescent="0.3">
      <c r="A418" s="253" t="s">
        <v>600</v>
      </c>
      <c r="B418" s="252" t="s">
        <v>636</v>
      </c>
      <c r="C418" s="252" t="s">
        <v>636</v>
      </c>
      <c r="D418" s="252" t="s">
        <v>89</v>
      </c>
      <c r="E418" s="252" t="s">
        <v>40</v>
      </c>
      <c r="F418" s="253" t="s">
        <v>21</v>
      </c>
      <c r="G418" s="253" t="s">
        <v>22</v>
      </c>
      <c r="H418" s="254">
        <v>871.2</v>
      </c>
      <c r="I418" s="254">
        <v>0</v>
      </c>
      <c r="J418" s="254">
        <v>871.2</v>
      </c>
      <c r="K418" s="254">
        <v>0</v>
      </c>
      <c r="L418" s="254">
        <v>871.2</v>
      </c>
      <c r="M418" s="254" t="s">
        <v>67</v>
      </c>
    </row>
    <row r="419" spans="1:13" ht="25.05" customHeight="1" x14ac:dyDescent="0.3">
      <c r="A419" s="253" t="s">
        <v>600</v>
      </c>
      <c r="B419" s="252" t="s">
        <v>637</v>
      </c>
      <c r="C419" s="252" t="s">
        <v>638</v>
      </c>
      <c r="D419" s="252" t="s">
        <v>81</v>
      </c>
      <c r="E419" s="252" t="s">
        <v>46</v>
      </c>
      <c r="F419" s="253" t="s">
        <v>21</v>
      </c>
      <c r="G419" s="253" t="s">
        <v>22</v>
      </c>
      <c r="H419" s="254">
        <v>607.19999999999993</v>
      </c>
      <c r="I419" s="254">
        <v>890.5</v>
      </c>
      <c r="J419" s="254">
        <v>607.19999999999993</v>
      </c>
      <c r="K419" s="254">
        <v>890.5</v>
      </c>
      <c r="L419" s="254">
        <v>-283.30000000000007</v>
      </c>
      <c r="M419" s="254">
        <v>-31.81358787198204</v>
      </c>
    </row>
    <row r="420" spans="1:13" ht="25.05" customHeight="1" x14ac:dyDescent="0.3">
      <c r="A420" s="253" t="s">
        <v>600</v>
      </c>
      <c r="B420" s="252" t="s">
        <v>639</v>
      </c>
      <c r="C420" s="252">
        <v>0</v>
      </c>
      <c r="D420" s="252">
        <v>0</v>
      </c>
      <c r="E420" s="252" t="s">
        <v>20</v>
      </c>
      <c r="F420" s="253" t="s">
        <v>21</v>
      </c>
      <c r="G420" s="253" t="s">
        <v>22</v>
      </c>
      <c r="H420" s="254">
        <v>568.20000000000005</v>
      </c>
      <c r="I420" s="254">
        <v>761.59999999999991</v>
      </c>
      <c r="J420" s="254">
        <v>568.20000000000005</v>
      </c>
      <c r="K420" s="254">
        <v>761.59999999999991</v>
      </c>
      <c r="L420" s="254">
        <v>-193.39999999999986</v>
      </c>
      <c r="M420" s="254">
        <v>-25.393907563025198</v>
      </c>
    </row>
    <row r="421" spans="1:13" ht="25.05" customHeight="1" x14ac:dyDescent="0.3">
      <c r="A421" s="253" t="s">
        <v>600</v>
      </c>
      <c r="B421" s="252" t="s">
        <v>640</v>
      </c>
      <c r="C421" s="252">
        <v>0</v>
      </c>
      <c r="D421" s="252">
        <v>0</v>
      </c>
      <c r="E421" s="252" t="s">
        <v>20</v>
      </c>
      <c r="F421" s="253" t="s">
        <v>21</v>
      </c>
      <c r="G421" s="253" t="s">
        <v>22</v>
      </c>
      <c r="H421" s="254">
        <v>3093.2</v>
      </c>
      <c r="I421" s="254">
        <v>3056.8</v>
      </c>
      <c r="J421" s="254">
        <v>3093.2</v>
      </c>
      <c r="K421" s="254">
        <v>3056.8</v>
      </c>
      <c r="L421" s="254">
        <v>36.399999999999636</v>
      </c>
      <c r="M421" s="254">
        <v>1.1907877518973971</v>
      </c>
    </row>
    <row r="422" spans="1:13" ht="25.05" customHeight="1" x14ac:dyDescent="0.3">
      <c r="A422" s="267" t="s">
        <v>600</v>
      </c>
      <c r="B422" s="268" t="s">
        <v>101</v>
      </c>
      <c r="C422" s="268">
        <v>0</v>
      </c>
      <c r="D422" s="268">
        <v>0</v>
      </c>
      <c r="E422" s="268" t="s">
        <v>20</v>
      </c>
      <c r="F422" s="267" t="s">
        <v>21</v>
      </c>
      <c r="G422" s="267" t="s">
        <v>22</v>
      </c>
      <c r="H422" s="269">
        <v>24539.8</v>
      </c>
      <c r="I422" s="269">
        <v>22319.4</v>
      </c>
      <c r="J422" s="269">
        <v>24539.8</v>
      </c>
      <c r="K422" s="269">
        <v>22319.4</v>
      </c>
      <c r="L422" s="269">
        <v>2220.3999999999978</v>
      </c>
      <c r="M422" s="269">
        <v>9.948296101149662</v>
      </c>
    </row>
    <row r="423" spans="1:13" ht="25.05" customHeight="1" x14ac:dyDescent="0.3">
      <c r="A423" s="253" t="s">
        <v>641</v>
      </c>
      <c r="B423" s="252" t="s">
        <v>1737</v>
      </c>
      <c r="C423" s="252" t="s">
        <v>1738</v>
      </c>
      <c r="D423" s="252" t="s">
        <v>126</v>
      </c>
      <c r="E423" s="252" t="s">
        <v>40</v>
      </c>
      <c r="F423" s="253" t="s">
        <v>21</v>
      </c>
      <c r="G423" s="253" t="s">
        <v>22</v>
      </c>
      <c r="H423" s="254">
        <v>316.2</v>
      </c>
      <c r="I423" s="254">
        <v>327.60000000000002</v>
      </c>
      <c r="J423" s="254">
        <v>316.2</v>
      </c>
      <c r="K423" s="254">
        <v>327.60000000000002</v>
      </c>
      <c r="L423" s="254">
        <v>-11.400000000000034</v>
      </c>
      <c r="M423" s="254">
        <v>-3.4798534798534897</v>
      </c>
    </row>
    <row r="424" spans="1:13" ht="25.05" customHeight="1" x14ac:dyDescent="0.3">
      <c r="A424" s="253" t="s">
        <v>641</v>
      </c>
      <c r="B424" s="252" t="s">
        <v>642</v>
      </c>
      <c r="C424" s="252" t="s">
        <v>643</v>
      </c>
      <c r="D424" s="252" t="s">
        <v>49</v>
      </c>
      <c r="E424" s="252" t="s">
        <v>46</v>
      </c>
      <c r="F424" s="253" t="s">
        <v>21</v>
      </c>
      <c r="G424" s="253" t="s">
        <v>22</v>
      </c>
      <c r="H424" s="254">
        <v>88.1</v>
      </c>
      <c r="I424" s="254">
        <v>86.7</v>
      </c>
      <c r="J424" s="254">
        <v>88.1</v>
      </c>
      <c r="K424" s="254">
        <v>86.7</v>
      </c>
      <c r="L424" s="254">
        <v>1.3999999999999915</v>
      </c>
      <c r="M424" s="254">
        <v>1.6147635524798056</v>
      </c>
    </row>
    <row r="425" spans="1:13" ht="25.05" customHeight="1" x14ac:dyDescent="0.3">
      <c r="A425" s="253" t="s">
        <v>641</v>
      </c>
      <c r="B425" s="252" t="s">
        <v>644</v>
      </c>
      <c r="C425" s="252">
        <v>0</v>
      </c>
      <c r="D425" s="252">
        <v>0</v>
      </c>
      <c r="E425" s="252" t="s">
        <v>20</v>
      </c>
      <c r="F425" s="253" t="s">
        <v>21</v>
      </c>
      <c r="G425" s="253" t="s">
        <v>22</v>
      </c>
      <c r="H425" s="254">
        <v>92.7</v>
      </c>
      <c r="I425" s="254">
        <v>105.2</v>
      </c>
      <c r="J425" s="254">
        <v>92.7</v>
      </c>
      <c r="K425" s="254">
        <v>105.2</v>
      </c>
      <c r="L425" s="254">
        <v>-12.5</v>
      </c>
      <c r="M425" s="254">
        <v>-11.882129277566539</v>
      </c>
    </row>
    <row r="426" spans="1:13" ht="25.05" customHeight="1" x14ac:dyDescent="0.3">
      <c r="A426" s="253" t="s">
        <v>641</v>
      </c>
      <c r="B426" s="252" t="s">
        <v>645</v>
      </c>
      <c r="C426" s="252">
        <v>0</v>
      </c>
      <c r="D426" s="252">
        <v>0</v>
      </c>
      <c r="E426" s="252" t="s">
        <v>20</v>
      </c>
      <c r="F426" s="253" t="s">
        <v>21</v>
      </c>
      <c r="G426" s="253" t="s">
        <v>22</v>
      </c>
      <c r="H426" s="254">
        <v>497.07799999999997</v>
      </c>
      <c r="I426" s="254">
        <v>519.6</v>
      </c>
      <c r="J426" s="254">
        <v>497.07799999999997</v>
      </c>
      <c r="K426" s="254">
        <v>519.6</v>
      </c>
      <c r="L426" s="254">
        <v>-22.522000000000048</v>
      </c>
      <c r="M426" s="254">
        <v>-4.3344880677444273</v>
      </c>
    </row>
    <row r="427" spans="1:13" ht="25.05" customHeight="1" x14ac:dyDescent="0.3">
      <c r="A427" s="253" t="s">
        <v>641</v>
      </c>
      <c r="B427" s="252" t="s">
        <v>646</v>
      </c>
      <c r="C427" s="252" t="s">
        <v>647</v>
      </c>
      <c r="D427" s="252" t="s">
        <v>89</v>
      </c>
      <c r="E427" s="252" t="s">
        <v>46</v>
      </c>
      <c r="F427" s="253" t="s">
        <v>21</v>
      </c>
      <c r="G427" s="253" t="s">
        <v>22</v>
      </c>
      <c r="H427" s="254">
        <v>110.1</v>
      </c>
      <c r="I427" s="254">
        <v>116</v>
      </c>
      <c r="J427" s="254">
        <v>110.1</v>
      </c>
      <c r="K427" s="254">
        <v>116</v>
      </c>
      <c r="L427" s="254">
        <v>-5.9000000000000057</v>
      </c>
      <c r="M427" s="254">
        <v>-5.0862068965517286</v>
      </c>
    </row>
    <row r="428" spans="1:13" ht="25.05" customHeight="1" x14ac:dyDescent="0.3">
      <c r="A428" s="253" t="s">
        <v>641</v>
      </c>
      <c r="B428" s="252" t="s">
        <v>648</v>
      </c>
      <c r="C428" s="252" t="s">
        <v>649</v>
      </c>
      <c r="D428" s="252" t="s">
        <v>126</v>
      </c>
      <c r="E428" s="252" t="s">
        <v>46</v>
      </c>
      <c r="F428" s="253" t="s">
        <v>21</v>
      </c>
      <c r="G428" s="253" t="s">
        <v>22</v>
      </c>
      <c r="H428" s="254">
        <v>35.200000000000003</v>
      </c>
      <c r="I428" s="254">
        <v>55.2</v>
      </c>
      <c r="J428" s="254">
        <v>35.200000000000003</v>
      </c>
      <c r="K428" s="254">
        <v>55.2</v>
      </c>
      <c r="L428" s="254">
        <v>-20</v>
      </c>
      <c r="M428" s="254">
        <v>-36.231884057971016</v>
      </c>
    </row>
    <row r="429" spans="1:13" ht="25.05" customHeight="1" x14ac:dyDescent="0.3">
      <c r="A429" s="253" t="s">
        <v>641</v>
      </c>
      <c r="B429" s="252" t="s">
        <v>650</v>
      </c>
      <c r="C429" s="252">
        <v>0</v>
      </c>
      <c r="D429" s="252">
        <v>0</v>
      </c>
      <c r="E429" s="252" t="s">
        <v>20</v>
      </c>
      <c r="F429" s="253" t="s">
        <v>21</v>
      </c>
      <c r="G429" s="253" t="s">
        <v>22</v>
      </c>
      <c r="H429" s="254">
        <v>139.4</v>
      </c>
      <c r="I429" s="254">
        <v>164.4</v>
      </c>
      <c r="J429" s="254">
        <v>139.4</v>
      </c>
      <c r="K429" s="254">
        <v>164.4</v>
      </c>
      <c r="L429" s="254">
        <v>-25</v>
      </c>
      <c r="M429" s="254">
        <v>-15.206812652068127</v>
      </c>
    </row>
    <row r="430" spans="1:13" ht="25.05" customHeight="1" x14ac:dyDescent="0.3">
      <c r="A430" s="253" t="s">
        <v>641</v>
      </c>
      <c r="B430" s="252" t="s">
        <v>651</v>
      </c>
      <c r="C430" s="252">
        <v>0</v>
      </c>
      <c r="D430" s="252">
        <v>0</v>
      </c>
      <c r="E430" s="252" t="s">
        <v>20</v>
      </c>
      <c r="F430" s="253" t="s">
        <v>21</v>
      </c>
      <c r="G430" s="253" t="s">
        <v>22</v>
      </c>
      <c r="H430" s="254">
        <v>284.7</v>
      </c>
      <c r="I430" s="254">
        <v>335.7</v>
      </c>
      <c r="J430" s="254">
        <v>284.7</v>
      </c>
      <c r="K430" s="254">
        <v>335.7</v>
      </c>
      <c r="L430" s="254">
        <v>-51</v>
      </c>
      <c r="M430" s="254">
        <v>-15.192135835567472</v>
      </c>
    </row>
    <row r="431" spans="1:13" ht="25.05" customHeight="1" x14ac:dyDescent="0.3">
      <c r="A431" s="253" t="s">
        <v>641</v>
      </c>
      <c r="B431" s="252" t="s">
        <v>652</v>
      </c>
      <c r="C431" s="252">
        <v>0</v>
      </c>
      <c r="D431" s="252">
        <v>0</v>
      </c>
      <c r="E431" s="252" t="s">
        <v>20</v>
      </c>
      <c r="F431" s="253" t="s">
        <v>21</v>
      </c>
      <c r="G431" s="253" t="s">
        <v>22</v>
      </c>
      <c r="H431" s="254">
        <v>781.7</v>
      </c>
      <c r="I431" s="254">
        <v>855.4</v>
      </c>
      <c r="J431" s="254">
        <v>781.7</v>
      </c>
      <c r="K431" s="254">
        <v>855.4</v>
      </c>
      <c r="L431" s="254">
        <v>-73.699999999999932</v>
      </c>
      <c r="M431" s="254">
        <v>-8.6158522328735021</v>
      </c>
    </row>
    <row r="432" spans="1:13" ht="25.05" customHeight="1" x14ac:dyDescent="0.3">
      <c r="A432" s="253" t="s">
        <v>641</v>
      </c>
      <c r="B432" s="252" t="s">
        <v>653</v>
      </c>
      <c r="C432" s="252" t="s">
        <v>654</v>
      </c>
      <c r="D432" s="252" t="s">
        <v>258</v>
      </c>
      <c r="E432" s="252" t="s">
        <v>46</v>
      </c>
      <c r="F432" s="253" t="s">
        <v>21</v>
      </c>
      <c r="G432" s="253" t="s">
        <v>22</v>
      </c>
      <c r="H432" s="254">
        <v>785.6</v>
      </c>
      <c r="I432" s="254">
        <v>531.70000000000005</v>
      </c>
      <c r="J432" s="254">
        <v>785.6</v>
      </c>
      <c r="K432" s="254">
        <v>531.70000000000005</v>
      </c>
      <c r="L432" s="254">
        <v>253.89999999999998</v>
      </c>
      <c r="M432" s="254">
        <v>47.752492006770723</v>
      </c>
    </row>
    <row r="433" spans="1:13" ht="25.05" customHeight="1" x14ac:dyDescent="0.3">
      <c r="A433" s="253" t="s">
        <v>641</v>
      </c>
      <c r="B433" s="252" t="s">
        <v>655</v>
      </c>
      <c r="C433" s="252" t="s">
        <v>656</v>
      </c>
      <c r="D433" s="252" t="s">
        <v>129</v>
      </c>
      <c r="E433" s="252" t="s">
        <v>46</v>
      </c>
      <c r="F433" s="253" t="s">
        <v>21</v>
      </c>
      <c r="G433" s="253" t="s">
        <v>22</v>
      </c>
      <c r="H433" s="254">
        <v>152.1</v>
      </c>
      <c r="I433" s="254">
        <v>179.3</v>
      </c>
      <c r="J433" s="254">
        <v>152.1</v>
      </c>
      <c r="K433" s="254">
        <v>179.3</v>
      </c>
      <c r="L433" s="254">
        <v>-27.200000000000017</v>
      </c>
      <c r="M433" s="254">
        <v>-15.17010596765199</v>
      </c>
    </row>
    <row r="434" spans="1:13" ht="25.05" customHeight="1" x14ac:dyDescent="0.3">
      <c r="A434" s="253" t="s">
        <v>641</v>
      </c>
      <c r="B434" s="252" t="s">
        <v>657</v>
      </c>
      <c r="C434" s="252" t="s">
        <v>658</v>
      </c>
      <c r="D434" s="252" t="s">
        <v>89</v>
      </c>
      <c r="E434" s="252" t="s">
        <v>46</v>
      </c>
      <c r="F434" s="253" t="s">
        <v>21</v>
      </c>
      <c r="G434" s="253" t="s">
        <v>22</v>
      </c>
      <c r="H434" s="254">
        <v>65.599999999999994</v>
      </c>
      <c r="I434" s="254">
        <v>104.6</v>
      </c>
      <c r="J434" s="254">
        <v>65.599999999999994</v>
      </c>
      <c r="K434" s="254">
        <v>104.6</v>
      </c>
      <c r="L434" s="254">
        <v>-39</v>
      </c>
      <c r="M434" s="254">
        <v>-37.284894837476102</v>
      </c>
    </row>
    <row r="435" spans="1:13" ht="25.05" customHeight="1" x14ac:dyDescent="0.3">
      <c r="A435" s="253" t="s">
        <v>641</v>
      </c>
      <c r="B435" s="252" t="s">
        <v>659</v>
      </c>
      <c r="C435" s="252" t="s">
        <v>660</v>
      </c>
      <c r="D435" s="252" t="s">
        <v>239</v>
      </c>
      <c r="E435" s="252" t="s">
        <v>239</v>
      </c>
      <c r="F435" s="253" t="s">
        <v>21</v>
      </c>
      <c r="G435" s="253" t="s">
        <v>22</v>
      </c>
      <c r="H435" s="254">
        <v>36.200000000000003</v>
      </c>
      <c r="I435" s="254">
        <v>61.8</v>
      </c>
      <c r="J435" s="254">
        <v>36.200000000000003</v>
      </c>
      <c r="K435" s="254">
        <v>61.8</v>
      </c>
      <c r="L435" s="254">
        <v>-25.599999999999994</v>
      </c>
      <c r="M435" s="254">
        <v>-41.423948220064716</v>
      </c>
    </row>
    <row r="436" spans="1:13" ht="25.05" customHeight="1" x14ac:dyDescent="0.3">
      <c r="A436" s="253" t="s">
        <v>641</v>
      </c>
      <c r="B436" s="252" t="s">
        <v>661</v>
      </c>
      <c r="C436" s="252">
        <v>0</v>
      </c>
      <c r="D436" s="252">
        <v>0</v>
      </c>
      <c r="E436" s="252" t="s">
        <v>20</v>
      </c>
      <c r="F436" s="253" t="s">
        <v>21</v>
      </c>
      <c r="G436" s="253" t="s">
        <v>22</v>
      </c>
      <c r="H436" s="254">
        <v>199.3</v>
      </c>
      <c r="I436" s="254">
        <v>185.6</v>
      </c>
      <c r="J436" s="254">
        <v>199.3</v>
      </c>
      <c r="K436" s="254">
        <v>185.6</v>
      </c>
      <c r="L436" s="254">
        <v>13.700000000000017</v>
      </c>
      <c r="M436" s="254">
        <v>7.3814655172413879</v>
      </c>
    </row>
    <row r="437" spans="1:13" ht="25.05" customHeight="1" x14ac:dyDescent="0.3">
      <c r="A437" s="253" t="s">
        <v>641</v>
      </c>
      <c r="B437" s="252" t="s">
        <v>662</v>
      </c>
      <c r="C437" s="252">
        <v>0</v>
      </c>
      <c r="D437" s="252">
        <v>0</v>
      </c>
      <c r="E437" s="252" t="s">
        <v>20</v>
      </c>
      <c r="F437" s="253" t="s">
        <v>21</v>
      </c>
      <c r="G437" s="253" t="s">
        <v>22</v>
      </c>
      <c r="H437" s="254">
        <v>1238.8</v>
      </c>
      <c r="I437" s="254">
        <v>1063.0999999999999</v>
      </c>
      <c r="J437" s="254">
        <v>1238.8</v>
      </c>
      <c r="K437" s="254">
        <v>1063.0999999999999</v>
      </c>
      <c r="L437" s="254">
        <v>175.70000000000005</v>
      </c>
      <c r="M437" s="254">
        <v>16.527137616404861</v>
      </c>
    </row>
    <row r="438" spans="1:13" ht="25.05" customHeight="1" x14ac:dyDescent="0.3">
      <c r="A438" s="253" t="s">
        <v>641</v>
      </c>
      <c r="B438" s="252" t="s">
        <v>663</v>
      </c>
      <c r="C438" s="252">
        <v>0</v>
      </c>
      <c r="D438" s="252">
        <v>0</v>
      </c>
      <c r="E438" s="252" t="s">
        <v>20</v>
      </c>
      <c r="F438" s="253" t="s">
        <v>21</v>
      </c>
      <c r="G438" s="253" t="s">
        <v>22</v>
      </c>
      <c r="H438" s="254">
        <v>783.1</v>
      </c>
      <c r="I438" s="254">
        <v>879.8</v>
      </c>
      <c r="J438" s="254">
        <v>783.1</v>
      </c>
      <c r="K438" s="254">
        <v>879.8</v>
      </c>
      <c r="L438" s="254">
        <v>-96.699999999999932</v>
      </c>
      <c r="M438" s="254">
        <v>-10.99113434871561</v>
      </c>
    </row>
    <row r="439" spans="1:13" ht="25.05" customHeight="1" x14ac:dyDescent="0.3">
      <c r="A439" s="253" t="s">
        <v>641</v>
      </c>
      <c r="B439" s="252" t="s">
        <v>664</v>
      </c>
      <c r="C439" s="252">
        <v>0</v>
      </c>
      <c r="D439" s="252">
        <v>0</v>
      </c>
      <c r="E439" s="252" t="s">
        <v>20</v>
      </c>
      <c r="F439" s="253" t="s">
        <v>21</v>
      </c>
      <c r="G439" s="253" t="s">
        <v>22</v>
      </c>
      <c r="H439" s="254">
        <v>99.3</v>
      </c>
      <c r="I439" s="254">
        <v>115.9</v>
      </c>
      <c r="J439" s="254">
        <v>99.3</v>
      </c>
      <c r="K439" s="254">
        <v>115.9</v>
      </c>
      <c r="L439" s="254">
        <v>-16.600000000000009</v>
      </c>
      <c r="M439" s="254">
        <v>-14.322691975841249</v>
      </c>
    </row>
    <row r="440" spans="1:13" ht="25.05" customHeight="1" x14ac:dyDescent="0.3">
      <c r="A440" s="267" t="s">
        <v>641</v>
      </c>
      <c r="B440" s="268" t="s">
        <v>101</v>
      </c>
      <c r="C440" s="268">
        <v>0</v>
      </c>
      <c r="D440" s="268">
        <v>0</v>
      </c>
      <c r="E440" s="268" t="s">
        <v>20</v>
      </c>
      <c r="F440" s="267" t="s">
        <v>21</v>
      </c>
      <c r="G440" s="267" t="s">
        <v>22</v>
      </c>
      <c r="H440" s="269">
        <v>2903</v>
      </c>
      <c r="I440" s="269">
        <v>2914.4</v>
      </c>
      <c r="J440" s="269">
        <v>2903</v>
      </c>
      <c r="K440" s="269">
        <v>2914.4</v>
      </c>
      <c r="L440" s="269">
        <v>-11.400000000000091</v>
      </c>
      <c r="M440" s="269">
        <v>-0.39116113093604482</v>
      </c>
    </row>
    <row r="441" spans="1:13" ht="25.05" customHeight="1" x14ac:dyDescent="0.3">
      <c r="A441" s="253" t="s">
        <v>665</v>
      </c>
      <c r="B441" s="258"/>
      <c r="C441" s="252"/>
      <c r="D441" s="252"/>
      <c r="E441" s="252" t="s">
        <v>20</v>
      </c>
      <c r="F441" s="253" t="s">
        <v>316</v>
      </c>
      <c r="G441" s="253" t="s">
        <v>22</v>
      </c>
      <c r="H441" s="254">
        <v>17859</v>
      </c>
      <c r="I441" s="254">
        <v>17477</v>
      </c>
      <c r="J441" s="254">
        <v>21602.157104999998</v>
      </c>
      <c r="K441" s="254">
        <v>21140.091815</v>
      </c>
      <c r="L441" s="254">
        <v>462.06528999999864</v>
      </c>
      <c r="M441" s="254">
        <v>2.1857298163300274</v>
      </c>
    </row>
    <row r="442" spans="1:13" ht="25.05" customHeight="1" x14ac:dyDescent="0.3">
      <c r="A442" s="253" t="s">
        <v>665</v>
      </c>
      <c r="B442" s="252"/>
      <c r="C442" s="252"/>
      <c r="D442" s="252"/>
      <c r="E442" s="252" t="s">
        <v>20</v>
      </c>
      <c r="F442" s="253" t="s">
        <v>316</v>
      </c>
      <c r="G442" s="253" t="s">
        <v>22</v>
      </c>
      <c r="H442" s="254">
        <v>6976</v>
      </c>
      <c r="I442" s="254">
        <v>6919</v>
      </c>
      <c r="J442" s="254">
        <v>8438.13472</v>
      </c>
      <c r="K442" s="254">
        <v>8369.1878049999996</v>
      </c>
      <c r="L442" s="254">
        <v>68.946915000000445</v>
      </c>
      <c r="M442" s="254">
        <v>0.82381847087729976</v>
      </c>
    </row>
    <row r="443" spans="1:13" ht="25.05" customHeight="1" x14ac:dyDescent="0.3">
      <c r="A443" s="253" t="s">
        <v>665</v>
      </c>
      <c r="B443" s="252"/>
      <c r="C443" s="252"/>
      <c r="D443" s="252"/>
      <c r="E443" s="252" t="s">
        <v>20</v>
      </c>
      <c r="F443" s="253" t="s">
        <v>316</v>
      </c>
      <c r="G443" s="253" t="s">
        <v>22</v>
      </c>
      <c r="H443" s="254">
        <v>9818</v>
      </c>
      <c r="I443" s="254">
        <v>9234</v>
      </c>
      <c r="J443" s="254">
        <v>11875.80371</v>
      </c>
      <c r="K443" s="254">
        <v>11169.400229999999</v>
      </c>
      <c r="L443" s="254">
        <v>706.40348000000085</v>
      </c>
      <c r="M443" s="254">
        <v>6.3244531080788464</v>
      </c>
    </row>
    <row r="444" spans="1:13" ht="25.05" customHeight="1" x14ac:dyDescent="0.3">
      <c r="A444" s="253" t="s">
        <v>665</v>
      </c>
      <c r="B444" s="252"/>
      <c r="C444" s="252"/>
      <c r="D444" s="252"/>
      <c r="E444" s="252" t="s">
        <v>20</v>
      </c>
      <c r="F444" s="253" t="s">
        <v>316</v>
      </c>
      <c r="G444" s="253" t="s">
        <v>22</v>
      </c>
      <c r="H444" s="254">
        <v>2068</v>
      </c>
      <c r="I444" s="254">
        <v>2206</v>
      </c>
      <c r="J444" s="254">
        <v>2501.4424599999998</v>
      </c>
      <c r="K444" s="254">
        <v>2668.3665700000001</v>
      </c>
      <c r="L444" s="254">
        <v>-166.92411000000038</v>
      </c>
      <c r="M444" s="254">
        <v>-6.2556663644605752</v>
      </c>
    </row>
    <row r="445" spans="1:13" ht="25.05" customHeight="1" x14ac:dyDescent="0.3">
      <c r="A445" s="267" t="s">
        <v>665</v>
      </c>
      <c r="B445" s="268" t="s">
        <v>101</v>
      </c>
      <c r="C445" s="268"/>
      <c r="D445" s="268"/>
      <c r="E445" s="268" t="s">
        <v>20</v>
      </c>
      <c r="F445" s="267" t="s">
        <v>316</v>
      </c>
      <c r="G445" s="267" t="s">
        <v>22</v>
      </c>
      <c r="H445" s="269">
        <v>36277</v>
      </c>
      <c r="I445" s="269">
        <v>35409</v>
      </c>
      <c r="J445" s="269">
        <v>43880.477814999998</v>
      </c>
      <c r="K445" s="269">
        <v>42830.549354999996</v>
      </c>
      <c r="L445" s="269">
        <v>1049.9284600000028</v>
      </c>
      <c r="M445" s="269">
        <v>2.4513541754921131</v>
      </c>
    </row>
    <row r="446" spans="1:13" ht="25.05" customHeight="1" x14ac:dyDescent="0.3">
      <c r="A446" s="253" t="s">
        <v>666</v>
      </c>
      <c r="B446" s="252" t="s">
        <v>1747</v>
      </c>
      <c r="C446" s="252" t="s">
        <v>1748</v>
      </c>
      <c r="D446" s="252" t="s">
        <v>221</v>
      </c>
      <c r="E446" s="252" t="s">
        <v>46</v>
      </c>
      <c r="F446" s="253" t="s">
        <v>667</v>
      </c>
      <c r="G446" s="253" t="s">
        <v>22</v>
      </c>
      <c r="H446" s="254">
        <v>547</v>
      </c>
      <c r="I446" s="254">
        <v>514</v>
      </c>
      <c r="J446" s="254">
        <v>758.32743300000004</v>
      </c>
      <c r="K446" s="254">
        <v>712.57824600000004</v>
      </c>
      <c r="L446" s="254">
        <v>45.749187000000006</v>
      </c>
      <c r="M446" s="254">
        <v>6.4202334630350206</v>
      </c>
    </row>
    <row r="447" spans="1:13" ht="25.05" customHeight="1" x14ac:dyDescent="0.3">
      <c r="A447" s="253" t="s">
        <v>666</v>
      </c>
      <c r="B447" s="252" t="s">
        <v>668</v>
      </c>
      <c r="C447" s="252" t="s">
        <v>669</v>
      </c>
      <c r="D447" s="252" t="s">
        <v>221</v>
      </c>
      <c r="E447" s="252" t="s">
        <v>46</v>
      </c>
      <c r="F447" s="253" t="s">
        <v>667</v>
      </c>
      <c r="G447" s="253" t="s">
        <v>22</v>
      </c>
      <c r="H447" s="254">
        <v>45</v>
      </c>
      <c r="I447" s="254">
        <v>48</v>
      </c>
      <c r="J447" s="254">
        <v>62.385255000000001</v>
      </c>
      <c r="K447" s="254">
        <v>66.544272000000007</v>
      </c>
      <c r="L447" s="254">
        <v>-4.1590170000000057</v>
      </c>
      <c r="M447" s="254">
        <v>-6.250000000000008</v>
      </c>
    </row>
    <row r="448" spans="1:13" ht="25.05" customHeight="1" x14ac:dyDescent="0.3">
      <c r="A448" s="253" t="s">
        <v>666</v>
      </c>
      <c r="B448" s="252" t="s">
        <v>670</v>
      </c>
      <c r="C448" s="252" t="s">
        <v>671</v>
      </c>
      <c r="D448" s="252" t="s">
        <v>221</v>
      </c>
      <c r="E448" s="252" t="s">
        <v>46</v>
      </c>
      <c r="F448" s="253" t="s">
        <v>667</v>
      </c>
      <c r="G448" s="253" t="s">
        <v>22</v>
      </c>
      <c r="H448" s="254">
        <v>220</v>
      </c>
      <c r="I448" s="254">
        <v>262</v>
      </c>
      <c r="J448" s="254">
        <v>304.99457999999998</v>
      </c>
      <c r="K448" s="254">
        <v>363.22081800000001</v>
      </c>
      <c r="L448" s="254">
        <v>-58.226238000000023</v>
      </c>
      <c r="M448" s="254">
        <v>-16.030534351145047</v>
      </c>
    </row>
    <row r="449" spans="1:13" ht="25.05" customHeight="1" x14ac:dyDescent="0.3">
      <c r="A449" s="253" t="s">
        <v>666</v>
      </c>
      <c r="B449" s="252" t="s">
        <v>672</v>
      </c>
      <c r="C449" s="252" t="s">
        <v>673</v>
      </c>
      <c r="D449" s="252" t="s">
        <v>221</v>
      </c>
      <c r="E449" s="252" t="s">
        <v>46</v>
      </c>
      <c r="F449" s="253" t="s">
        <v>667</v>
      </c>
      <c r="G449" s="253" t="s">
        <v>22</v>
      </c>
      <c r="H449" s="254">
        <v>1124</v>
      </c>
      <c r="I449" s="254">
        <v>971</v>
      </c>
      <c r="J449" s="254">
        <v>1558.245036</v>
      </c>
      <c r="K449" s="254">
        <v>1346.1351689999999</v>
      </c>
      <c r="L449" s="254">
        <v>212.10986700000012</v>
      </c>
      <c r="M449" s="254">
        <v>15.756951596292494</v>
      </c>
    </row>
    <row r="450" spans="1:13" ht="25.05" customHeight="1" x14ac:dyDescent="0.3">
      <c r="A450" s="253" t="s">
        <v>666</v>
      </c>
      <c r="B450" s="252" t="s">
        <v>674</v>
      </c>
      <c r="C450" s="252" t="s">
        <v>675</v>
      </c>
      <c r="D450" s="252" t="s">
        <v>221</v>
      </c>
      <c r="E450" s="252" t="s">
        <v>46</v>
      </c>
      <c r="F450" s="253" t="s">
        <v>667</v>
      </c>
      <c r="G450" s="253" t="s">
        <v>22</v>
      </c>
      <c r="H450" s="254">
        <v>819</v>
      </c>
      <c r="I450" s="254">
        <v>518</v>
      </c>
      <c r="J450" s="254">
        <v>1135.4116409999999</v>
      </c>
      <c r="K450" s="254">
        <v>718.12360200000001</v>
      </c>
      <c r="L450" s="254">
        <v>417.28803899999991</v>
      </c>
      <c r="M450" s="254">
        <v>58.108108108108091</v>
      </c>
    </row>
    <row r="451" spans="1:13" ht="25.05" customHeight="1" x14ac:dyDescent="0.3">
      <c r="A451" s="253" t="s">
        <v>666</v>
      </c>
      <c r="B451" s="252" t="s">
        <v>676</v>
      </c>
      <c r="C451" s="252">
        <v>0</v>
      </c>
      <c r="D451" s="252" t="s">
        <v>221</v>
      </c>
      <c r="E451" s="252" t="s">
        <v>20</v>
      </c>
      <c r="F451" s="253" t="s">
        <v>667</v>
      </c>
      <c r="G451" s="253" t="s">
        <v>22</v>
      </c>
      <c r="H451" s="254">
        <v>2755</v>
      </c>
      <c r="I451" s="254">
        <v>2313</v>
      </c>
      <c r="J451" s="254">
        <v>3819.3639450000001</v>
      </c>
      <c r="K451" s="254">
        <v>3206.6021070000002</v>
      </c>
      <c r="L451" s="254">
        <v>612.7618379999999</v>
      </c>
      <c r="M451" s="254">
        <v>19.109381755296148</v>
      </c>
    </row>
    <row r="452" spans="1:13" ht="25.05" customHeight="1" x14ac:dyDescent="0.3">
      <c r="A452" s="253" t="s">
        <v>666</v>
      </c>
      <c r="B452" s="252" t="s">
        <v>677</v>
      </c>
      <c r="C452" s="252" t="s">
        <v>678</v>
      </c>
      <c r="D452" s="252" t="s">
        <v>221</v>
      </c>
      <c r="E452" s="252" t="s">
        <v>40</v>
      </c>
      <c r="F452" s="253" t="s">
        <v>667</v>
      </c>
      <c r="G452" s="253" t="s">
        <v>22</v>
      </c>
      <c r="H452" s="254">
        <v>994</v>
      </c>
      <c r="I452" s="254">
        <v>768</v>
      </c>
      <c r="J452" s="254">
        <v>1378.020966</v>
      </c>
      <c r="K452" s="254">
        <v>1064.7083520000001</v>
      </c>
      <c r="L452" s="254">
        <v>313.31261399999994</v>
      </c>
      <c r="M452" s="254">
        <v>29.427083333333325</v>
      </c>
    </row>
    <row r="453" spans="1:13" ht="25.05" customHeight="1" x14ac:dyDescent="0.3">
      <c r="A453" s="253" t="s">
        <v>666</v>
      </c>
      <c r="B453" s="252" t="s">
        <v>679</v>
      </c>
      <c r="C453" s="252">
        <v>0</v>
      </c>
      <c r="D453" s="252" t="s">
        <v>221</v>
      </c>
      <c r="E453" s="252" t="s">
        <v>20</v>
      </c>
      <c r="F453" s="253" t="s">
        <v>667</v>
      </c>
      <c r="G453" s="253" t="s">
        <v>22</v>
      </c>
      <c r="H453" s="254">
        <v>3749</v>
      </c>
      <c r="I453" s="254">
        <v>3081</v>
      </c>
      <c r="J453" s="254">
        <v>5197.3849110000001</v>
      </c>
      <c r="K453" s="254">
        <v>4271.3104590000003</v>
      </c>
      <c r="L453" s="254">
        <v>926.07445199999984</v>
      </c>
      <c r="M453" s="254">
        <v>21.681272314183701</v>
      </c>
    </row>
    <row r="454" spans="1:13" ht="25.05" customHeight="1" x14ac:dyDescent="0.3">
      <c r="A454" s="253" t="s">
        <v>666</v>
      </c>
      <c r="B454" s="252" t="s">
        <v>680</v>
      </c>
      <c r="C454" s="252" t="s">
        <v>681</v>
      </c>
      <c r="D454" s="252" t="s">
        <v>89</v>
      </c>
      <c r="E454" s="252" t="s">
        <v>46</v>
      </c>
      <c r="F454" s="253" t="s">
        <v>667</v>
      </c>
      <c r="G454" s="253" t="s">
        <v>22</v>
      </c>
      <c r="H454" s="254">
        <v>1527</v>
      </c>
      <c r="I454" s="254">
        <v>1662</v>
      </c>
      <c r="J454" s="254">
        <v>2116.9396529999999</v>
      </c>
      <c r="K454" s="254">
        <v>2304.0954179999999</v>
      </c>
      <c r="L454" s="254">
        <v>-187.15576499999997</v>
      </c>
      <c r="M454" s="254">
        <v>-8.1227436823104675</v>
      </c>
    </row>
    <row r="455" spans="1:13" ht="25.05" customHeight="1" x14ac:dyDescent="0.3">
      <c r="A455" s="253" t="s">
        <v>666</v>
      </c>
      <c r="B455" s="252" t="s">
        <v>682</v>
      </c>
      <c r="C455" s="252" t="s">
        <v>683</v>
      </c>
      <c r="D455" s="252" t="s">
        <v>89</v>
      </c>
      <c r="E455" s="252" t="s">
        <v>46</v>
      </c>
      <c r="F455" s="253" t="s">
        <v>667</v>
      </c>
      <c r="G455" s="253" t="s">
        <v>22</v>
      </c>
      <c r="H455" s="254">
        <v>2306</v>
      </c>
      <c r="I455" s="254">
        <v>2549</v>
      </c>
      <c r="J455" s="254">
        <v>3196.8977340000001</v>
      </c>
      <c r="K455" s="254">
        <v>3533.7781110000001</v>
      </c>
      <c r="L455" s="254">
        <v>-336.88037699999995</v>
      </c>
      <c r="M455" s="254">
        <v>-9.53315025500196</v>
      </c>
    </row>
    <row r="456" spans="1:13" ht="25.05" customHeight="1" x14ac:dyDescent="0.3">
      <c r="A456" s="253" t="s">
        <v>666</v>
      </c>
      <c r="B456" s="252" t="s">
        <v>684</v>
      </c>
      <c r="C456" s="252" t="s">
        <v>685</v>
      </c>
      <c r="D456" s="252" t="s">
        <v>89</v>
      </c>
      <c r="E456" s="252" t="s">
        <v>46</v>
      </c>
      <c r="F456" s="253" t="s">
        <v>667</v>
      </c>
      <c r="G456" s="253" t="s">
        <v>22</v>
      </c>
      <c r="H456" s="254">
        <v>495</v>
      </c>
      <c r="I456" s="254">
        <v>366</v>
      </c>
      <c r="J456" s="254">
        <v>686.23780499999998</v>
      </c>
      <c r="K456" s="254">
        <v>507.40007400000002</v>
      </c>
      <c r="L456" s="254">
        <v>178.83773099999996</v>
      </c>
      <c r="M456" s="254">
        <v>35.245901639344254</v>
      </c>
    </row>
    <row r="457" spans="1:13" ht="25.05" customHeight="1" x14ac:dyDescent="0.3">
      <c r="A457" s="253" t="s">
        <v>666</v>
      </c>
      <c r="B457" s="252" t="s">
        <v>686</v>
      </c>
      <c r="C457" s="252" t="s">
        <v>687</v>
      </c>
      <c r="D457" s="252" t="s">
        <v>89</v>
      </c>
      <c r="E457" s="252" t="s">
        <v>46</v>
      </c>
      <c r="F457" s="253" t="s">
        <v>667</v>
      </c>
      <c r="G457" s="253" t="s">
        <v>22</v>
      </c>
      <c r="H457" s="254">
        <v>374</v>
      </c>
      <c r="I457" s="254">
        <v>56</v>
      </c>
      <c r="J457" s="254">
        <v>518.49078599999996</v>
      </c>
      <c r="K457" s="254">
        <v>77.634984000000003</v>
      </c>
      <c r="L457" s="254">
        <v>440.85580199999993</v>
      </c>
      <c r="M457" s="254">
        <v>567.85714285714266</v>
      </c>
    </row>
    <row r="458" spans="1:13" ht="25.05" customHeight="1" x14ac:dyDescent="0.3">
      <c r="A458" s="253" t="s">
        <v>666</v>
      </c>
      <c r="B458" s="252" t="s">
        <v>688</v>
      </c>
      <c r="C458" s="252" t="s">
        <v>689</v>
      </c>
      <c r="D458" s="252" t="s">
        <v>89</v>
      </c>
      <c r="E458" s="252" t="s">
        <v>46</v>
      </c>
      <c r="F458" s="253" t="s">
        <v>667</v>
      </c>
      <c r="G458" s="253" t="s">
        <v>22</v>
      </c>
      <c r="H458" s="254">
        <v>31</v>
      </c>
      <c r="I458" s="254">
        <v>75</v>
      </c>
      <c r="J458" s="254">
        <v>42.976509</v>
      </c>
      <c r="K458" s="254">
        <v>103.975425</v>
      </c>
      <c r="L458" s="254">
        <v>-60.998916000000001</v>
      </c>
      <c r="M458" s="254">
        <v>-58.666666666666664</v>
      </c>
    </row>
    <row r="459" spans="1:13" ht="25.05" customHeight="1" x14ac:dyDescent="0.3">
      <c r="A459" s="253" t="s">
        <v>666</v>
      </c>
      <c r="B459" s="252" t="s">
        <v>690</v>
      </c>
      <c r="C459" s="252" t="s">
        <v>691</v>
      </c>
      <c r="D459" s="252" t="s">
        <v>89</v>
      </c>
      <c r="E459" s="252" t="s">
        <v>46</v>
      </c>
      <c r="F459" s="253" t="s">
        <v>667</v>
      </c>
      <c r="G459" s="253" t="s">
        <v>22</v>
      </c>
      <c r="H459" s="254">
        <v>91</v>
      </c>
      <c r="I459" s="254">
        <v>97</v>
      </c>
      <c r="J459" s="254">
        <v>126.15684899999999</v>
      </c>
      <c r="K459" s="254">
        <v>134.47488300000001</v>
      </c>
      <c r="L459" s="254">
        <v>-8.3180340000000115</v>
      </c>
      <c r="M459" s="254">
        <v>-6.1855670103092866</v>
      </c>
    </row>
    <row r="460" spans="1:13" ht="25.05" customHeight="1" x14ac:dyDescent="0.3">
      <c r="A460" s="253" t="s">
        <v>666</v>
      </c>
      <c r="B460" s="252" t="s">
        <v>692</v>
      </c>
      <c r="C460" s="252" t="s">
        <v>693</v>
      </c>
      <c r="D460" s="252" t="s">
        <v>89</v>
      </c>
      <c r="E460" s="252" t="s">
        <v>46</v>
      </c>
      <c r="F460" s="253" t="s">
        <v>667</v>
      </c>
      <c r="G460" s="253" t="s">
        <v>22</v>
      </c>
      <c r="H460" s="254">
        <v>11</v>
      </c>
      <c r="I460" s="254">
        <v>0</v>
      </c>
      <c r="J460" s="254">
        <v>15.249729</v>
      </c>
      <c r="K460" s="254">
        <v>0</v>
      </c>
      <c r="L460" s="254">
        <v>15.249729</v>
      </c>
      <c r="M460" s="254" t="s">
        <v>67</v>
      </c>
    </row>
    <row r="461" spans="1:13" ht="25.05" customHeight="1" x14ac:dyDescent="0.3">
      <c r="A461" s="253" t="s">
        <v>666</v>
      </c>
      <c r="B461" s="252" t="s">
        <v>694</v>
      </c>
      <c r="C461" s="252">
        <v>0</v>
      </c>
      <c r="D461" s="252" t="s">
        <v>89</v>
      </c>
      <c r="E461" s="252" t="s">
        <v>20</v>
      </c>
      <c r="F461" s="253" t="s">
        <v>667</v>
      </c>
      <c r="G461" s="253" t="s">
        <v>22</v>
      </c>
      <c r="H461" s="254">
        <v>41</v>
      </c>
      <c r="I461" s="254">
        <v>49</v>
      </c>
      <c r="J461" s="254">
        <v>56.839899000000003</v>
      </c>
      <c r="K461" s="254">
        <v>67.930610999999999</v>
      </c>
      <c r="L461" s="254">
        <v>-11.090711999999996</v>
      </c>
      <c r="M461" s="254">
        <v>-16.326530612244895</v>
      </c>
    </row>
    <row r="462" spans="1:13" ht="25.05" customHeight="1" x14ac:dyDescent="0.3">
      <c r="A462" s="253" t="s">
        <v>666</v>
      </c>
      <c r="B462" s="252" t="s">
        <v>695</v>
      </c>
      <c r="C462" s="252" t="s">
        <v>681</v>
      </c>
      <c r="D462" s="252" t="s">
        <v>89</v>
      </c>
      <c r="E462" s="252" t="s">
        <v>46</v>
      </c>
      <c r="F462" s="253" t="s">
        <v>667</v>
      </c>
      <c r="G462" s="253" t="s">
        <v>22</v>
      </c>
      <c r="H462" s="254">
        <v>4702</v>
      </c>
      <c r="I462" s="254">
        <v>4633</v>
      </c>
      <c r="J462" s="254">
        <v>6518.5659779999996</v>
      </c>
      <c r="K462" s="254">
        <v>6422.9085869999999</v>
      </c>
      <c r="L462" s="254">
        <v>95.657390999999734</v>
      </c>
      <c r="M462" s="254">
        <v>1.4893157781135293</v>
      </c>
    </row>
    <row r="463" spans="1:13" ht="25.05" customHeight="1" x14ac:dyDescent="0.3">
      <c r="A463" s="253" t="s">
        <v>666</v>
      </c>
      <c r="B463" s="252" t="s">
        <v>696</v>
      </c>
      <c r="C463" s="252">
        <v>0</v>
      </c>
      <c r="D463" s="252" t="s">
        <v>89</v>
      </c>
      <c r="E463" s="252" t="s">
        <v>20</v>
      </c>
      <c r="F463" s="253" t="s">
        <v>667</v>
      </c>
      <c r="G463" s="253" t="s">
        <v>22</v>
      </c>
      <c r="H463" s="254">
        <v>4876</v>
      </c>
      <c r="I463" s="254">
        <v>4854</v>
      </c>
      <c r="J463" s="254">
        <v>6759.7889640000003</v>
      </c>
      <c r="K463" s="254">
        <v>6729.2895060000001</v>
      </c>
      <c r="L463" s="254">
        <v>30.499458000000232</v>
      </c>
      <c r="M463" s="254">
        <v>0.45323444581788558</v>
      </c>
    </row>
    <row r="464" spans="1:13" ht="25.05" customHeight="1" x14ac:dyDescent="0.3">
      <c r="A464" s="253" t="s">
        <v>666</v>
      </c>
      <c r="B464" s="252" t="s">
        <v>697</v>
      </c>
      <c r="C464" s="252" t="s">
        <v>698</v>
      </c>
      <c r="D464" s="252" t="s">
        <v>92</v>
      </c>
      <c r="E464" s="252" t="s">
        <v>40</v>
      </c>
      <c r="F464" s="253" t="s">
        <v>667</v>
      </c>
      <c r="G464" s="253" t="s">
        <v>22</v>
      </c>
      <c r="H464" s="254">
        <v>719</v>
      </c>
      <c r="I464" s="254">
        <v>613</v>
      </c>
      <c r="J464" s="254">
        <v>996.77774099999999</v>
      </c>
      <c r="K464" s="254">
        <v>849.82580699999994</v>
      </c>
      <c r="L464" s="254">
        <v>146.95193400000005</v>
      </c>
      <c r="M464" s="254">
        <v>17.29200652528549</v>
      </c>
    </row>
    <row r="465" spans="1:13" ht="25.05" customHeight="1" x14ac:dyDescent="0.3">
      <c r="A465" s="253" t="s">
        <v>666</v>
      </c>
      <c r="B465" s="252" t="s">
        <v>699</v>
      </c>
      <c r="C465" s="252">
        <v>0</v>
      </c>
      <c r="D465" s="252">
        <v>0</v>
      </c>
      <c r="E465" s="252" t="s">
        <v>20</v>
      </c>
      <c r="F465" s="253" t="s">
        <v>667</v>
      </c>
      <c r="G465" s="253" t="s">
        <v>22</v>
      </c>
      <c r="H465" s="254">
        <v>727</v>
      </c>
      <c r="I465" s="254">
        <v>613</v>
      </c>
      <c r="J465" s="254">
        <v>1007.868453</v>
      </c>
      <c r="K465" s="254">
        <v>849.82580699999994</v>
      </c>
      <c r="L465" s="254">
        <v>158.0426460000001</v>
      </c>
      <c r="M465" s="254">
        <v>18.597063621533454</v>
      </c>
    </row>
    <row r="466" spans="1:13" ht="25.05" customHeight="1" x14ac:dyDescent="0.3">
      <c r="A466" s="253" t="s">
        <v>666</v>
      </c>
      <c r="B466" s="252" t="s">
        <v>700</v>
      </c>
      <c r="C466" s="252" t="s">
        <v>701</v>
      </c>
      <c r="D466" s="252" t="s">
        <v>49</v>
      </c>
      <c r="E466" s="252" t="s">
        <v>46</v>
      </c>
      <c r="F466" s="253" t="s">
        <v>667</v>
      </c>
      <c r="G466" s="253" t="s">
        <v>22</v>
      </c>
      <c r="H466" s="254">
        <v>339</v>
      </c>
      <c r="I466" s="254">
        <v>229</v>
      </c>
      <c r="J466" s="254">
        <v>469.96892100000002</v>
      </c>
      <c r="K466" s="254">
        <v>317.471631</v>
      </c>
      <c r="L466" s="254">
        <v>152.49729000000002</v>
      </c>
      <c r="M466" s="254">
        <v>48.0349344978166</v>
      </c>
    </row>
    <row r="467" spans="1:13" ht="25.05" customHeight="1" x14ac:dyDescent="0.3">
      <c r="A467" s="253" t="s">
        <v>666</v>
      </c>
      <c r="B467" s="252" t="s">
        <v>702</v>
      </c>
      <c r="C467" s="252" t="s">
        <v>703</v>
      </c>
      <c r="D467" s="252" t="s">
        <v>49</v>
      </c>
      <c r="E467" s="252" t="s">
        <v>40</v>
      </c>
      <c r="F467" s="253" t="s">
        <v>667</v>
      </c>
      <c r="G467" s="253" t="s">
        <v>22</v>
      </c>
      <c r="H467" s="254">
        <v>13</v>
      </c>
      <c r="I467" s="254">
        <v>0</v>
      </c>
      <c r="J467" s="254">
        <v>18.022407000000001</v>
      </c>
      <c r="K467" s="254">
        <v>0</v>
      </c>
      <c r="L467" s="254">
        <v>18.022407000000001</v>
      </c>
      <c r="M467" s="254" t="s">
        <v>67</v>
      </c>
    </row>
    <row r="468" spans="1:13" ht="25.05" customHeight="1" x14ac:dyDescent="0.3">
      <c r="A468" s="253" t="s">
        <v>666</v>
      </c>
      <c r="B468" s="252" t="s">
        <v>198</v>
      </c>
      <c r="C468" s="252">
        <v>0</v>
      </c>
      <c r="D468" s="252" t="s">
        <v>49</v>
      </c>
      <c r="E468" s="252" t="s">
        <v>20</v>
      </c>
      <c r="F468" s="253" t="s">
        <v>667</v>
      </c>
      <c r="G468" s="253" t="s">
        <v>22</v>
      </c>
      <c r="H468" s="254">
        <v>372</v>
      </c>
      <c r="I468" s="254">
        <v>229</v>
      </c>
      <c r="J468" s="254">
        <v>515.71810800000003</v>
      </c>
      <c r="K468" s="254">
        <v>317.471631</v>
      </c>
      <c r="L468" s="254">
        <v>198.24647700000003</v>
      </c>
      <c r="M468" s="254">
        <v>62.445414847161587</v>
      </c>
    </row>
    <row r="469" spans="1:13" ht="25.05" customHeight="1" x14ac:dyDescent="0.3">
      <c r="A469" s="253" t="s">
        <v>666</v>
      </c>
      <c r="B469" s="252" t="s">
        <v>704</v>
      </c>
      <c r="C469" s="252">
        <v>0</v>
      </c>
      <c r="D469" s="252">
        <v>0</v>
      </c>
      <c r="E469" s="252" t="s">
        <v>20</v>
      </c>
      <c r="F469" s="253" t="s">
        <v>667</v>
      </c>
      <c r="G469" s="253" t="s">
        <v>22</v>
      </c>
      <c r="H469" s="254">
        <v>9724</v>
      </c>
      <c r="I469" s="254">
        <v>8777</v>
      </c>
      <c r="J469" s="254">
        <v>13480.760436</v>
      </c>
      <c r="K469" s="254">
        <v>12167.897402999999</v>
      </c>
      <c r="L469" s="254">
        <v>1312.8630330000015</v>
      </c>
      <c r="M469" s="254">
        <v>10.789563632220588</v>
      </c>
    </row>
    <row r="470" spans="1:13" ht="25.05" customHeight="1" x14ac:dyDescent="0.3">
      <c r="A470" s="253" t="s">
        <v>666</v>
      </c>
      <c r="B470" s="252" t="s">
        <v>705</v>
      </c>
      <c r="C470" s="252" t="s">
        <v>706</v>
      </c>
      <c r="D470" s="252" t="s">
        <v>221</v>
      </c>
      <c r="E470" s="252" t="s">
        <v>46</v>
      </c>
      <c r="F470" s="253" t="s">
        <v>667</v>
      </c>
      <c r="G470" s="253" t="s">
        <v>22</v>
      </c>
      <c r="H470" s="254">
        <v>1535</v>
      </c>
      <c r="I470" s="254">
        <v>1730</v>
      </c>
      <c r="J470" s="254">
        <v>2128.0303650000001</v>
      </c>
      <c r="K470" s="254">
        <v>2398.3664699999999</v>
      </c>
      <c r="L470" s="254">
        <v>-270.33610499999986</v>
      </c>
      <c r="M470" s="254">
        <v>-11.271676300578029</v>
      </c>
    </row>
    <row r="471" spans="1:13" ht="25.05" customHeight="1" x14ac:dyDescent="0.3">
      <c r="A471" s="253" t="s">
        <v>666</v>
      </c>
      <c r="B471" s="252" t="s">
        <v>707</v>
      </c>
      <c r="C471" s="252" t="s">
        <v>708</v>
      </c>
      <c r="D471" s="252" t="s">
        <v>221</v>
      </c>
      <c r="E471" s="252" t="s">
        <v>46</v>
      </c>
      <c r="F471" s="253" t="s">
        <v>667</v>
      </c>
      <c r="G471" s="253" t="s">
        <v>22</v>
      </c>
      <c r="H471" s="254">
        <v>419</v>
      </c>
      <c r="I471" s="254">
        <v>629</v>
      </c>
      <c r="J471" s="254">
        <v>580.87604099999999</v>
      </c>
      <c r="K471" s="254">
        <v>872.00723100000005</v>
      </c>
      <c r="L471" s="254">
        <v>-291.13119000000006</v>
      </c>
      <c r="M471" s="254">
        <v>-33.38632750397457</v>
      </c>
    </row>
    <row r="472" spans="1:13" ht="25.05" customHeight="1" x14ac:dyDescent="0.3">
      <c r="A472" s="253" t="s">
        <v>666</v>
      </c>
      <c r="B472" s="252" t="s">
        <v>709</v>
      </c>
      <c r="C472" s="252" t="s">
        <v>710</v>
      </c>
      <c r="D472" s="252" t="s">
        <v>221</v>
      </c>
      <c r="E472" s="252" t="s">
        <v>46</v>
      </c>
      <c r="F472" s="253" t="s">
        <v>667</v>
      </c>
      <c r="G472" s="253" t="s">
        <v>22</v>
      </c>
      <c r="H472" s="254">
        <v>785</v>
      </c>
      <c r="I472" s="254">
        <v>938</v>
      </c>
      <c r="J472" s="254">
        <v>1088.2761149999999</v>
      </c>
      <c r="K472" s="254">
        <v>1300.385982</v>
      </c>
      <c r="L472" s="254">
        <v>-212.10986700000012</v>
      </c>
      <c r="M472" s="254">
        <v>-16.311300639658857</v>
      </c>
    </row>
    <row r="473" spans="1:13" ht="25.05" customHeight="1" x14ac:dyDescent="0.3">
      <c r="A473" s="253" t="s">
        <v>666</v>
      </c>
      <c r="B473" s="252" t="s">
        <v>711</v>
      </c>
      <c r="C473" s="252" t="s">
        <v>673</v>
      </c>
      <c r="D473" s="252" t="s">
        <v>221</v>
      </c>
      <c r="E473" s="252" t="s">
        <v>46</v>
      </c>
      <c r="F473" s="253" t="s">
        <v>667</v>
      </c>
      <c r="G473" s="253" t="s">
        <v>22</v>
      </c>
      <c r="H473" s="254">
        <v>297</v>
      </c>
      <c r="I473" s="254">
        <v>324</v>
      </c>
      <c r="J473" s="254">
        <v>411.742683</v>
      </c>
      <c r="K473" s="254">
        <v>449.17383599999999</v>
      </c>
      <c r="L473" s="254">
        <v>-37.431152999999995</v>
      </c>
      <c r="M473" s="254">
        <v>-8.3333333333333321</v>
      </c>
    </row>
    <row r="474" spans="1:13" ht="25.05" customHeight="1" x14ac:dyDescent="0.3">
      <c r="A474" s="253" t="s">
        <v>666</v>
      </c>
      <c r="B474" s="252" t="s">
        <v>23</v>
      </c>
      <c r="C474" s="252">
        <v>0</v>
      </c>
      <c r="D474" s="252">
        <v>0</v>
      </c>
      <c r="E474" s="252" t="s">
        <v>20</v>
      </c>
      <c r="F474" s="253" t="s">
        <v>667</v>
      </c>
      <c r="G474" s="253" t="s">
        <v>22</v>
      </c>
      <c r="H474" s="254">
        <v>215</v>
      </c>
      <c r="I474" s="254">
        <v>279</v>
      </c>
      <c r="J474" s="254">
        <v>298.06288499999999</v>
      </c>
      <c r="K474" s="254">
        <v>386.78858100000002</v>
      </c>
      <c r="L474" s="254">
        <v>-88.725696000000028</v>
      </c>
      <c r="M474" s="254">
        <v>-22.93906810035843</v>
      </c>
    </row>
    <row r="475" spans="1:13" ht="25.05" customHeight="1" x14ac:dyDescent="0.3">
      <c r="A475" s="253" t="s">
        <v>666</v>
      </c>
      <c r="B475" s="252" t="s">
        <v>56</v>
      </c>
      <c r="C475" s="252">
        <v>0</v>
      </c>
      <c r="D475" s="252" t="s">
        <v>56</v>
      </c>
      <c r="E475" s="252" t="s">
        <v>20</v>
      </c>
      <c r="F475" s="253" t="s">
        <v>667</v>
      </c>
      <c r="G475" s="253" t="s">
        <v>22</v>
      </c>
      <c r="H475" s="254">
        <v>425</v>
      </c>
      <c r="I475" s="254">
        <v>445</v>
      </c>
      <c r="J475" s="254">
        <v>589.194075</v>
      </c>
      <c r="K475" s="254">
        <v>616.92085499999996</v>
      </c>
      <c r="L475" s="254">
        <v>-27.726779999999962</v>
      </c>
      <c r="M475" s="254">
        <v>-4.4943820224719042</v>
      </c>
    </row>
    <row r="476" spans="1:13" ht="25.05" customHeight="1" x14ac:dyDescent="0.3">
      <c r="A476" s="253" t="s">
        <v>666</v>
      </c>
      <c r="B476" s="252" t="s">
        <v>712</v>
      </c>
      <c r="C476" s="252" t="s">
        <v>713</v>
      </c>
      <c r="D476" s="252" t="s">
        <v>89</v>
      </c>
      <c r="E476" s="252" t="s">
        <v>46</v>
      </c>
      <c r="F476" s="253" t="s">
        <v>667</v>
      </c>
      <c r="G476" s="253" t="s">
        <v>22</v>
      </c>
      <c r="H476" s="254">
        <v>490</v>
      </c>
      <c r="I476" s="254">
        <v>602</v>
      </c>
      <c r="J476" s="254">
        <v>679.30610999999999</v>
      </c>
      <c r="K476" s="254">
        <v>834.57607799999994</v>
      </c>
      <c r="L476" s="254">
        <v>-155.26996799999995</v>
      </c>
      <c r="M476" s="254">
        <v>-18.604651162790692</v>
      </c>
    </row>
    <row r="477" spans="1:13" ht="25.05" customHeight="1" x14ac:dyDescent="0.3">
      <c r="A477" s="253" t="s">
        <v>666</v>
      </c>
      <c r="B477" s="252" t="s">
        <v>714</v>
      </c>
      <c r="C477" s="252" t="s">
        <v>715</v>
      </c>
      <c r="D477" s="252" t="s">
        <v>258</v>
      </c>
      <c r="E477" s="252" t="s">
        <v>46</v>
      </c>
      <c r="F477" s="253" t="s">
        <v>667</v>
      </c>
      <c r="G477" s="253" t="s">
        <v>22</v>
      </c>
      <c r="H477" s="254">
        <v>466</v>
      </c>
      <c r="I477" s="254">
        <v>574</v>
      </c>
      <c r="J477" s="254">
        <v>646.03397399999994</v>
      </c>
      <c r="K477" s="254">
        <v>795.75858600000004</v>
      </c>
      <c r="L477" s="254">
        <v>-149.72461200000009</v>
      </c>
      <c r="M477" s="254">
        <v>-18.815331010452972</v>
      </c>
    </row>
    <row r="478" spans="1:13" ht="25.05" customHeight="1" x14ac:dyDescent="0.3">
      <c r="A478" s="253" t="s">
        <v>666</v>
      </c>
      <c r="B478" s="252" t="s">
        <v>716</v>
      </c>
      <c r="C478" s="252" t="s">
        <v>717</v>
      </c>
      <c r="D478" s="252" t="s">
        <v>62</v>
      </c>
      <c r="E478" s="252" t="s">
        <v>46</v>
      </c>
      <c r="F478" s="253" t="s">
        <v>667</v>
      </c>
      <c r="G478" s="253" t="s">
        <v>22</v>
      </c>
      <c r="H478" s="254">
        <v>118</v>
      </c>
      <c r="I478" s="254">
        <v>138</v>
      </c>
      <c r="J478" s="254">
        <v>163.58800199999999</v>
      </c>
      <c r="K478" s="254">
        <v>191.31478200000001</v>
      </c>
      <c r="L478" s="254">
        <v>-27.726780000000019</v>
      </c>
      <c r="M478" s="254">
        <v>-14.492753623188415</v>
      </c>
    </row>
    <row r="479" spans="1:13" ht="25.05" customHeight="1" x14ac:dyDescent="0.3">
      <c r="A479" s="253" t="s">
        <v>666</v>
      </c>
      <c r="B479" s="252" t="s">
        <v>718</v>
      </c>
      <c r="C479" s="252" t="s">
        <v>719</v>
      </c>
      <c r="D479" s="252" t="s">
        <v>62</v>
      </c>
      <c r="E479" s="252" t="s">
        <v>46</v>
      </c>
      <c r="F479" s="253" t="s">
        <v>667</v>
      </c>
      <c r="G479" s="253" t="s">
        <v>22</v>
      </c>
      <c r="H479" s="254">
        <v>537</v>
      </c>
      <c r="I479" s="254">
        <v>566</v>
      </c>
      <c r="J479" s="254">
        <v>744.46404299999995</v>
      </c>
      <c r="K479" s="254">
        <v>784.66787399999998</v>
      </c>
      <c r="L479" s="254">
        <v>-40.203831000000037</v>
      </c>
      <c r="M479" s="254">
        <v>-5.1236749116607818</v>
      </c>
    </row>
    <row r="480" spans="1:13" ht="25.05" customHeight="1" x14ac:dyDescent="0.3">
      <c r="A480" s="253" t="s">
        <v>666</v>
      </c>
      <c r="B480" s="252" t="s">
        <v>720</v>
      </c>
      <c r="C480" s="252" t="s">
        <v>721</v>
      </c>
      <c r="D480" s="252" t="s">
        <v>62</v>
      </c>
      <c r="E480" s="252" t="s">
        <v>46</v>
      </c>
      <c r="F480" s="253" t="s">
        <v>667</v>
      </c>
      <c r="G480" s="253" t="s">
        <v>22</v>
      </c>
      <c r="H480" s="254">
        <v>146</v>
      </c>
      <c r="I480" s="254">
        <v>160</v>
      </c>
      <c r="J480" s="254">
        <v>202.405494</v>
      </c>
      <c r="K480" s="254">
        <v>221.81423999999998</v>
      </c>
      <c r="L480" s="254">
        <v>-19.408745999999979</v>
      </c>
      <c r="M480" s="254">
        <v>-8.7499999999999911</v>
      </c>
    </row>
    <row r="481" spans="1:13" ht="25.05" customHeight="1" x14ac:dyDescent="0.3">
      <c r="A481" s="253" t="s">
        <v>666</v>
      </c>
      <c r="B481" s="252" t="s">
        <v>722</v>
      </c>
      <c r="C481" s="252" t="s">
        <v>723</v>
      </c>
      <c r="D481" s="252" t="s">
        <v>89</v>
      </c>
      <c r="E481" s="252" t="s">
        <v>46</v>
      </c>
      <c r="F481" s="253" t="s">
        <v>667</v>
      </c>
      <c r="G481" s="253" t="s">
        <v>22</v>
      </c>
      <c r="H481" s="254">
        <v>103</v>
      </c>
      <c r="I481" s="254">
        <v>107</v>
      </c>
      <c r="J481" s="254">
        <v>142.79291699999999</v>
      </c>
      <c r="K481" s="254">
        <v>148.33827299999999</v>
      </c>
      <c r="L481" s="254">
        <v>-5.5453559999999982</v>
      </c>
      <c r="M481" s="254">
        <v>-3.7383177570093449</v>
      </c>
    </row>
    <row r="482" spans="1:13" ht="25.05" customHeight="1" x14ac:dyDescent="0.3">
      <c r="A482" s="253" t="s">
        <v>666</v>
      </c>
      <c r="B482" s="252" t="s">
        <v>23</v>
      </c>
      <c r="C482" s="252">
        <v>0</v>
      </c>
      <c r="D482" s="252">
        <v>0</v>
      </c>
      <c r="E482" s="252" t="s">
        <v>20</v>
      </c>
      <c r="F482" s="253" t="s">
        <v>667</v>
      </c>
      <c r="G482" s="253" t="s">
        <v>22</v>
      </c>
      <c r="H482" s="254">
        <v>1796</v>
      </c>
      <c r="I482" s="254">
        <v>2284</v>
      </c>
      <c r="J482" s="254">
        <v>2489.8648440000002</v>
      </c>
      <c r="K482" s="254">
        <v>3166.3982759999999</v>
      </c>
      <c r="L482" s="254">
        <v>-676.53343199999972</v>
      </c>
      <c r="M482" s="254">
        <v>-21.366024518388784</v>
      </c>
    </row>
    <row r="483" spans="1:13" ht="25.05" customHeight="1" x14ac:dyDescent="0.3">
      <c r="A483" s="253" t="s">
        <v>666</v>
      </c>
      <c r="B483" s="252" t="s">
        <v>724</v>
      </c>
      <c r="C483" s="252">
        <v>0</v>
      </c>
      <c r="D483" s="252" t="s">
        <v>221</v>
      </c>
      <c r="E483" s="252" t="s">
        <v>20</v>
      </c>
      <c r="F483" s="253" t="s">
        <v>667</v>
      </c>
      <c r="G483" s="253" t="s">
        <v>22</v>
      </c>
      <c r="H483" s="254">
        <v>3251</v>
      </c>
      <c r="I483" s="254">
        <v>3900</v>
      </c>
      <c r="J483" s="254">
        <v>4506.9880890000004</v>
      </c>
      <c r="K483" s="254">
        <v>5406.7221</v>
      </c>
      <c r="L483" s="254">
        <v>-899.73401099999955</v>
      </c>
      <c r="M483" s="254">
        <v>-16.641025641025635</v>
      </c>
    </row>
    <row r="484" spans="1:13" ht="25.05" customHeight="1" x14ac:dyDescent="0.3">
      <c r="A484" s="253" t="s">
        <v>666</v>
      </c>
      <c r="B484" s="252" t="s">
        <v>725</v>
      </c>
      <c r="C484" s="252">
        <v>0</v>
      </c>
      <c r="D484" s="252">
        <v>0</v>
      </c>
      <c r="E484" s="252" t="s">
        <v>20</v>
      </c>
      <c r="F484" s="253" t="s">
        <v>667</v>
      </c>
      <c r="G484" s="253" t="s">
        <v>22</v>
      </c>
      <c r="H484" s="254">
        <v>7332</v>
      </c>
      <c r="I484" s="254">
        <v>8776</v>
      </c>
      <c r="J484" s="254">
        <v>10164.637548000001</v>
      </c>
      <c r="K484" s="254">
        <v>12166.511064</v>
      </c>
      <c r="L484" s="254">
        <v>-2001.8735159999997</v>
      </c>
      <c r="M484" s="254">
        <v>-16.453965360072921</v>
      </c>
    </row>
    <row r="485" spans="1:13" ht="25.05" customHeight="1" x14ac:dyDescent="0.3">
      <c r="A485" s="253" t="s">
        <v>666</v>
      </c>
      <c r="B485" s="252" t="s">
        <v>301</v>
      </c>
      <c r="C485" s="252">
        <v>0</v>
      </c>
      <c r="D485" s="252">
        <v>0</v>
      </c>
      <c r="E485" s="252" t="s">
        <v>20</v>
      </c>
      <c r="F485" s="253" t="s">
        <v>667</v>
      </c>
      <c r="G485" s="253" t="s">
        <v>22</v>
      </c>
      <c r="H485" s="254">
        <v>17056</v>
      </c>
      <c r="I485" s="254">
        <v>17554</v>
      </c>
      <c r="J485" s="254">
        <v>23645.397983999999</v>
      </c>
      <c r="K485" s="254">
        <v>24335.794805999998</v>
      </c>
      <c r="L485" s="254">
        <v>-690.39682199999879</v>
      </c>
      <c r="M485" s="254">
        <v>-2.8369602369830194</v>
      </c>
    </row>
    <row r="486" spans="1:13" ht="25.05" customHeight="1" x14ac:dyDescent="0.3">
      <c r="A486" s="253" t="s">
        <v>666</v>
      </c>
      <c r="B486" s="252" t="s">
        <v>726</v>
      </c>
      <c r="C486" s="252" t="s">
        <v>727</v>
      </c>
      <c r="D486" s="252" t="s">
        <v>239</v>
      </c>
      <c r="E486" s="252" t="s">
        <v>239</v>
      </c>
      <c r="F486" s="253" t="s">
        <v>667</v>
      </c>
      <c r="G486" s="253" t="s">
        <v>22</v>
      </c>
      <c r="H486" s="254">
        <v>650</v>
      </c>
      <c r="I486" s="254">
        <v>679</v>
      </c>
      <c r="J486" s="254">
        <v>901.12035000000003</v>
      </c>
      <c r="K486" s="254">
        <v>941.32418099999995</v>
      </c>
      <c r="L486" s="254">
        <v>-40.203830999999923</v>
      </c>
      <c r="M486" s="254">
        <v>-4.2709867452135413</v>
      </c>
    </row>
    <row r="487" spans="1:13" ht="25.05" customHeight="1" x14ac:dyDescent="0.3">
      <c r="A487" s="253" t="s">
        <v>666</v>
      </c>
      <c r="B487" s="252" t="s">
        <v>728</v>
      </c>
      <c r="C487" s="252" t="s">
        <v>727</v>
      </c>
      <c r="D487" s="252" t="s">
        <v>239</v>
      </c>
      <c r="E487" s="252" t="s">
        <v>239</v>
      </c>
      <c r="F487" s="253" t="s">
        <v>667</v>
      </c>
      <c r="G487" s="253" t="s">
        <v>22</v>
      </c>
      <c r="H487" s="254">
        <v>265</v>
      </c>
      <c r="I487" s="254">
        <v>267</v>
      </c>
      <c r="J487" s="254">
        <v>367.37983500000001</v>
      </c>
      <c r="K487" s="254">
        <v>370.152513</v>
      </c>
      <c r="L487" s="254">
        <v>-2.7726779999999849</v>
      </c>
      <c r="M487" s="254">
        <v>-0.74906367041198096</v>
      </c>
    </row>
    <row r="488" spans="1:13" ht="25.05" customHeight="1" x14ac:dyDescent="0.3">
      <c r="A488" s="253" t="s">
        <v>666</v>
      </c>
      <c r="B488" s="252" t="s">
        <v>177</v>
      </c>
      <c r="C488" s="252">
        <v>0</v>
      </c>
      <c r="D488" s="252" t="s">
        <v>239</v>
      </c>
      <c r="E488" s="252" t="s">
        <v>239</v>
      </c>
      <c r="F488" s="253" t="s">
        <v>667</v>
      </c>
      <c r="G488" s="253" t="s">
        <v>22</v>
      </c>
      <c r="H488" s="254">
        <v>114</v>
      </c>
      <c r="I488" s="254">
        <v>72</v>
      </c>
      <c r="J488" s="254">
        <v>158.04264599999999</v>
      </c>
      <c r="K488" s="254">
        <v>99.816407999999996</v>
      </c>
      <c r="L488" s="254">
        <v>58.226237999999995</v>
      </c>
      <c r="M488" s="254">
        <v>58.333333333333329</v>
      </c>
    </row>
    <row r="489" spans="1:13" ht="25.05" customHeight="1" x14ac:dyDescent="0.3">
      <c r="A489" s="253" t="s">
        <v>666</v>
      </c>
      <c r="B489" s="252" t="s">
        <v>729</v>
      </c>
      <c r="C489" s="252">
        <v>0</v>
      </c>
      <c r="D489" s="252" t="s">
        <v>239</v>
      </c>
      <c r="E489" s="252" t="s">
        <v>239</v>
      </c>
      <c r="F489" s="253" t="s">
        <v>667</v>
      </c>
      <c r="G489" s="253" t="s">
        <v>22</v>
      </c>
      <c r="H489" s="254">
        <v>1029</v>
      </c>
      <c r="I489" s="254">
        <v>1018</v>
      </c>
      <c r="J489" s="254">
        <v>1426.542831</v>
      </c>
      <c r="K489" s="254">
        <v>1411.2931020000001</v>
      </c>
      <c r="L489" s="254">
        <v>15.249728999999888</v>
      </c>
      <c r="M489" s="254">
        <v>1.080550098231819</v>
      </c>
    </row>
    <row r="490" spans="1:13" ht="25.05" customHeight="1" x14ac:dyDescent="0.3">
      <c r="A490" s="253" t="s">
        <v>666</v>
      </c>
      <c r="B490" s="252" t="s">
        <v>730</v>
      </c>
      <c r="C490" s="252" t="s">
        <v>731</v>
      </c>
      <c r="D490" s="252" t="s">
        <v>239</v>
      </c>
      <c r="E490" s="252" t="s">
        <v>239</v>
      </c>
      <c r="F490" s="253" t="s">
        <v>667</v>
      </c>
      <c r="G490" s="253" t="s">
        <v>22</v>
      </c>
      <c r="H490" s="254">
        <v>733</v>
      </c>
      <c r="I490" s="254">
        <v>541</v>
      </c>
      <c r="J490" s="254">
        <v>1016.1864869999999</v>
      </c>
      <c r="K490" s="254">
        <v>750.00939900000003</v>
      </c>
      <c r="L490" s="254">
        <v>266.17708799999991</v>
      </c>
      <c r="M490" s="254">
        <v>35.489833641404793</v>
      </c>
    </row>
    <row r="491" spans="1:13" ht="25.05" customHeight="1" x14ac:dyDescent="0.3">
      <c r="A491" s="253" t="s">
        <v>666</v>
      </c>
      <c r="B491" s="252" t="s">
        <v>732</v>
      </c>
      <c r="C491" s="252">
        <v>0</v>
      </c>
      <c r="D491" s="252" t="s">
        <v>239</v>
      </c>
      <c r="E491" s="252" t="s">
        <v>239</v>
      </c>
      <c r="F491" s="253" t="s">
        <v>667</v>
      </c>
      <c r="G491" s="253" t="s">
        <v>22</v>
      </c>
      <c r="H491" s="254">
        <v>733</v>
      </c>
      <c r="I491" s="254">
        <v>541</v>
      </c>
      <c r="J491" s="254">
        <v>1016.1864869999999</v>
      </c>
      <c r="K491" s="254">
        <v>750.00939900000003</v>
      </c>
      <c r="L491" s="254">
        <v>266.17708799999991</v>
      </c>
      <c r="M491" s="254">
        <v>35.489833641404793</v>
      </c>
    </row>
    <row r="492" spans="1:13" ht="25.05" customHeight="1" x14ac:dyDescent="0.3">
      <c r="A492" s="253" t="s">
        <v>666</v>
      </c>
      <c r="B492" s="252" t="s">
        <v>733</v>
      </c>
      <c r="C492" s="252" t="s">
        <v>734</v>
      </c>
      <c r="D492" s="252" t="s">
        <v>239</v>
      </c>
      <c r="E492" s="252" t="s">
        <v>239</v>
      </c>
      <c r="F492" s="253" t="s">
        <v>667</v>
      </c>
      <c r="G492" s="253" t="s">
        <v>22</v>
      </c>
      <c r="H492" s="254">
        <v>1989</v>
      </c>
      <c r="I492" s="254">
        <v>1810</v>
      </c>
      <c r="J492" s="254">
        <v>2757.4282709999998</v>
      </c>
      <c r="K492" s="254">
        <v>2509.2735899999998</v>
      </c>
      <c r="L492" s="254">
        <v>248.15468099999998</v>
      </c>
      <c r="M492" s="254">
        <v>9.88950276243094</v>
      </c>
    </row>
    <row r="493" spans="1:13" ht="25.05" customHeight="1" x14ac:dyDescent="0.3">
      <c r="A493" s="253" t="s">
        <v>666</v>
      </c>
      <c r="B493" s="252" t="s">
        <v>735</v>
      </c>
      <c r="C493" s="252">
        <v>0</v>
      </c>
      <c r="D493" s="252" t="s">
        <v>239</v>
      </c>
      <c r="E493" s="252" t="s">
        <v>239</v>
      </c>
      <c r="F493" s="253" t="s">
        <v>667</v>
      </c>
      <c r="G493" s="253" t="s">
        <v>22</v>
      </c>
      <c r="H493" s="254">
        <v>1989</v>
      </c>
      <c r="I493" s="254">
        <v>1810</v>
      </c>
      <c r="J493" s="254">
        <v>2757.4282709999998</v>
      </c>
      <c r="K493" s="254">
        <v>2509.2735899999998</v>
      </c>
      <c r="L493" s="254">
        <v>248.15468099999998</v>
      </c>
      <c r="M493" s="254">
        <v>9.88950276243094</v>
      </c>
    </row>
    <row r="494" spans="1:13" ht="25.05" customHeight="1" x14ac:dyDescent="0.3">
      <c r="A494" s="253" t="s">
        <v>666</v>
      </c>
      <c r="B494" s="252" t="s">
        <v>736</v>
      </c>
      <c r="C494" s="252" t="s">
        <v>737</v>
      </c>
      <c r="D494" s="252" t="s">
        <v>239</v>
      </c>
      <c r="E494" s="252" t="s">
        <v>239</v>
      </c>
      <c r="F494" s="253" t="s">
        <v>667</v>
      </c>
      <c r="G494" s="253" t="s">
        <v>22</v>
      </c>
      <c r="H494" s="254">
        <v>551</v>
      </c>
      <c r="I494" s="254">
        <v>733</v>
      </c>
      <c r="J494" s="254">
        <v>763.87278900000001</v>
      </c>
      <c r="K494" s="254">
        <v>1016.1864869999999</v>
      </c>
      <c r="L494" s="254">
        <v>-252.31369799999993</v>
      </c>
      <c r="M494" s="254">
        <v>-24.829467939972709</v>
      </c>
    </row>
    <row r="495" spans="1:13" ht="25.05" customHeight="1" x14ac:dyDescent="0.3">
      <c r="A495" s="253" t="s">
        <v>666</v>
      </c>
      <c r="B495" s="252" t="s">
        <v>738</v>
      </c>
      <c r="C495" s="252" t="s">
        <v>737</v>
      </c>
      <c r="D495" s="252" t="s">
        <v>239</v>
      </c>
      <c r="E495" s="252" t="s">
        <v>239</v>
      </c>
      <c r="F495" s="253" t="s">
        <v>667</v>
      </c>
      <c r="G495" s="253" t="s">
        <v>22</v>
      </c>
      <c r="H495" s="254">
        <v>476</v>
      </c>
      <c r="I495" s="254">
        <v>584</v>
      </c>
      <c r="J495" s="254">
        <v>659.89736400000004</v>
      </c>
      <c r="K495" s="254">
        <v>809.62197600000002</v>
      </c>
      <c r="L495" s="254">
        <v>-149.72461199999998</v>
      </c>
      <c r="M495" s="254">
        <v>-18.493150684931503</v>
      </c>
    </row>
    <row r="496" spans="1:13" ht="25.05" customHeight="1" x14ac:dyDescent="0.3">
      <c r="A496" s="253" t="s">
        <v>666</v>
      </c>
      <c r="B496" s="252" t="s">
        <v>739</v>
      </c>
      <c r="C496" s="252" t="s">
        <v>239</v>
      </c>
      <c r="D496" s="252" t="s">
        <v>239</v>
      </c>
      <c r="E496" s="252" t="s">
        <v>239</v>
      </c>
      <c r="F496" s="253" t="s">
        <v>667</v>
      </c>
      <c r="G496" s="253" t="s">
        <v>22</v>
      </c>
      <c r="H496" s="254">
        <v>576</v>
      </c>
      <c r="I496" s="254">
        <v>874</v>
      </c>
      <c r="J496" s="254">
        <v>798.53126399999996</v>
      </c>
      <c r="K496" s="254">
        <v>1211.660286</v>
      </c>
      <c r="L496" s="254">
        <v>-413.12902200000008</v>
      </c>
      <c r="M496" s="254">
        <v>-34.09610983981694</v>
      </c>
    </row>
    <row r="497" spans="1:13" ht="25.05" customHeight="1" x14ac:dyDescent="0.3">
      <c r="A497" s="253" t="s">
        <v>666</v>
      </c>
      <c r="B497" s="252" t="s">
        <v>740</v>
      </c>
      <c r="C497" s="252" t="s">
        <v>239</v>
      </c>
      <c r="D497" s="252" t="s">
        <v>239</v>
      </c>
      <c r="E497" s="252" t="s">
        <v>239</v>
      </c>
      <c r="F497" s="253" t="s">
        <v>667</v>
      </c>
      <c r="G497" s="253" t="s">
        <v>22</v>
      </c>
      <c r="H497" s="254">
        <v>559</v>
      </c>
      <c r="I497" s="254">
        <v>558</v>
      </c>
      <c r="J497" s="254">
        <v>774.96350099999995</v>
      </c>
      <c r="K497" s="254">
        <v>773.57716200000004</v>
      </c>
      <c r="L497" s="254">
        <v>1.3863389999999072</v>
      </c>
      <c r="M497" s="254">
        <v>0.17921146953403816</v>
      </c>
    </row>
    <row r="498" spans="1:13" ht="25.05" customHeight="1" x14ac:dyDescent="0.3">
      <c r="A498" s="253" t="s">
        <v>666</v>
      </c>
      <c r="B498" s="252" t="s">
        <v>741</v>
      </c>
      <c r="C498" s="252" t="s">
        <v>239</v>
      </c>
      <c r="D498" s="252" t="s">
        <v>239</v>
      </c>
      <c r="E498" s="252" t="s">
        <v>239</v>
      </c>
      <c r="F498" s="253" t="s">
        <v>667</v>
      </c>
      <c r="G498" s="253" t="s">
        <v>22</v>
      </c>
      <c r="H498" s="254">
        <v>402</v>
      </c>
      <c r="I498" s="254">
        <v>468</v>
      </c>
      <c r="J498" s="254">
        <v>557.30827799999997</v>
      </c>
      <c r="K498" s="254">
        <v>648.80665199999999</v>
      </c>
      <c r="L498" s="254">
        <v>-91.498374000000013</v>
      </c>
      <c r="M498" s="254">
        <v>-14.102564102564106</v>
      </c>
    </row>
    <row r="499" spans="1:13" ht="25.05" customHeight="1" x14ac:dyDescent="0.3">
      <c r="A499" s="253" t="s">
        <v>666</v>
      </c>
      <c r="B499" s="252" t="s">
        <v>742</v>
      </c>
      <c r="C499" s="252" t="s">
        <v>239</v>
      </c>
      <c r="D499" s="252" t="s">
        <v>239</v>
      </c>
      <c r="E499" s="252" t="s">
        <v>239</v>
      </c>
      <c r="F499" s="253" t="s">
        <v>667</v>
      </c>
      <c r="G499" s="253" t="s">
        <v>22</v>
      </c>
      <c r="H499" s="254">
        <v>261</v>
      </c>
      <c r="I499" s="254">
        <v>232</v>
      </c>
      <c r="J499" s="254">
        <v>361.83447899999999</v>
      </c>
      <c r="K499" s="254">
        <v>321.63064800000001</v>
      </c>
      <c r="L499" s="254">
        <v>40.20383099999998</v>
      </c>
      <c r="M499" s="254">
        <v>12.499999999999993</v>
      </c>
    </row>
    <row r="500" spans="1:13" ht="25.05" customHeight="1" x14ac:dyDescent="0.3">
      <c r="A500" s="253" t="s">
        <v>666</v>
      </c>
      <c r="B500" s="252" t="s">
        <v>743</v>
      </c>
      <c r="C500" s="252" t="s">
        <v>744</v>
      </c>
      <c r="D500" s="252" t="s">
        <v>239</v>
      </c>
      <c r="E500" s="252" t="s">
        <v>239</v>
      </c>
      <c r="F500" s="253" t="s">
        <v>667</v>
      </c>
      <c r="G500" s="253" t="s">
        <v>22</v>
      </c>
      <c r="H500" s="254">
        <v>139</v>
      </c>
      <c r="I500" s="254">
        <v>50</v>
      </c>
      <c r="J500" s="254">
        <v>192.701121</v>
      </c>
      <c r="K500" s="254">
        <v>69.316950000000006</v>
      </c>
      <c r="L500" s="254">
        <v>123.38417099999999</v>
      </c>
      <c r="M500" s="254">
        <v>177.99999999999997</v>
      </c>
    </row>
    <row r="501" spans="1:13" ht="25.05" customHeight="1" x14ac:dyDescent="0.3">
      <c r="A501" s="253" t="s">
        <v>666</v>
      </c>
      <c r="B501" s="252" t="s">
        <v>23</v>
      </c>
      <c r="C501" s="252">
        <v>0</v>
      </c>
      <c r="D501" s="252" t="s">
        <v>239</v>
      </c>
      <c r="E501" s="252" t="s">
        <v>239</v>
      </c>
      <c r="F501" s="253" t="s">
        <v>667</v>
      </c>
      <c r="G501" s="253" t="s">
        <v>22</v>
      </c>
      <c r="H501" s="254">
        <v>189</v>
      </c>
      <c r="I501" s="254">
        <v>289</v>
      </c>
      <c r="J501" s="254">
        <v>262.01807100000002</v>
      </c>
      <c r="K501" s="254">
        <v>400.651971</v>
      </c>
      <c r="L501" s="254">
        <v>-138.63389999999998</v>
      </c>
      <c r="M501" s="254">
        <v>-34.602076124567475</v>
      </c>
    </row>
    <row r="502" spans="1:13" ht="25.05" customHeight="1" x14ac:dyDescent="0.3">
      <c r="A502" s="253" t="s">
        <v>666</v>
      </c>
      <c r="B502" s="252" t="s">
        <v>745</v>
      </c>
      <c r="C502" s="252">
        <v>0</v>
      </c>
      <c r="D502" s="252" t="s">
        <v>239</v>
      </c>
      <c r="E502" s="252" t="s">
        <v>239</v>
      </c>
      <c r="F502" s="253" t="s">
        <v>667</v>
      </c>
      <c r="G502" s="253" t="s">
        <v>22</v>
      </c>
      <c r="H502" s="254">
        <v>3231</v>
      </c>
      <c r="I502" s="254">
        <v>3788</v>
      </c>
      <c r="J502" s="254">
        <v>4479.2613089999995</v>
      </c>
      <c r="K502" s="254">
        <v>5251.4521320000003</v>
      </c>
      <c r="L502" s="254">
        <v>-772.19082300000082</v>
      </c>
      <c r="M502" s="254">
        <v>-14.704329461457247</v>
      </c>
    </row>
    <row r="503" spans="1:13" ht="25.05" customHeight="1" x14ac:dyDescent="0.3">
      <c r="A503" s="253" t="s">
        <v>666</v>
      </c>
      <c r="B503" s="252" t="s">
        <v>746</v>
      </c>
      <c r="C503" s="252">
        <v>0</v>
      </c>
      <c r="D503" s="252" t="s">
        <v>239</v>
      </c>
      <c r="E503" s="252" t="s">
        <v>239</v>
      </c>
      <c r="F503" s="253" t="s">
        <v>667</v>
      </c>
      <c r="G503" s="253" t="s">
        <v>22</v>
      </c>
      <c r="H503" s="254">
        <v>6982</v>
      </c>
      <c r="I503" s="254">
        <v>7157</v>
      </c>
      <c r="J503" s="254">
        <v>9679.4188979999999</v>
      </c>
      <c r="K503" s="254">
        <v>9922.0282229999993</v>
      </c>
      <c r="L503" s="254">
        <v>-242.60932499999944</v>
      </c>
      <c r="M503" s="254">
        <v>-2.4451585859997151</v>
      </c>
    </row>
    <row r="504" spans="1:13" ht="25.05" customHeight="1" x14ac:dyDescent="0.3">
      <c r="A504" s="253" t="s">
        <v>666</v>
      </c>
      <c r="B504" s="252" t="s">
        <v>747</v>
      </c>
      <c r="C504" s="252">
        <v>0</v>
      </c>
      <c r="D504" s="252">
        <v>0</v>
      </c>
      <c r="E504" s="252" t="s">
        <v>20</v>
      </c>
      <c r="F504" s="253" t="s">
        <v>667</v>
      </c>
      <c r="G504" s="253" t="s">
        <v>22</v>
      </c>
      <c r="H504" s="254">
        <v>10033</v>
      </c>
      <c r="I504" s="254">
        <v>8995</v>
      </c>
      <c r="J504" s="254">
        <v>13909.139187000001</v>
      </c>
      <c r="K504" s="254">
        <v>12470.119305</v>
      </c>
      <c r="L504" s="254">
        <v>1439.0198820000005</v>
      </c>
      <c r="M504" s="254">
        <v>11.53974430239022</v>
      </c>
    </row>
    <row r="505" spans="1:13" ht="25.05" customHeight="1" x14ac:dyDescent="0.3">
      <c r="A505" s="253" t="s">
        <v>666</v>
      </c>
      <c r="B505" s="252" t="s">
        <v>748</v>
      </c>
      <c r="C505" s="252">
        <v>0</v>
      </c>
      <c r="D505" s="252">
        <v>0</v>
      </c>
      <c r="E505" s="252" t="s">
        <v>20</v>
      </c>
      <c r="F505" s="253" t="s">
        <v>667</v>
      </c>
      <c r="G505" s="253" t="s">
        <v>22</v>
      </c>
      <c r="H505" s="254">
        <v>0</v>
      </c>
      <c r="I505" s="254">
        <v>48</v>
      </c>
      <c r="J505" s="254">
        <v>0</v>
      </c>
      <c r="K505" s="254">
        <v>66.544272000000007</v>
      </c>
      <c r="L505" s="254">
        <v>-66.544272000000007</v>
      </c>
      <c r="M505" s="254">
        <v>-100</v>
      </c>
    </row>
    <row r="506" spans="1:13" ht="25.05" customHeight="1" x14ac:dyDescent="0.3">
      <c r="A506" s="267" t="s">
        <v>666</v>
      </c>
      <c r="B506" s="268" t="s">
        <v>38</v>
      </c>
      <c r="C506" s="268">
        <v>0</v>
      </c>
      <c r="D506" s="268">
        <v>0</v>
      </c>
      <c r="E506" s="268" t="s">
        <v>20</v>
      </c>
      <c r="F506" s="267" t="s">
        <v>667</v>
      </c>
      <c r="G506" s="267" t="s">
        <v>22</v>
      </c>
      <c r="H506" s="269">
        <v>34099</v>
      </c>
      <c r="I506" s="269">
        <v>33754</v>
      </c>
      <c r="J506" s="269">
        <v>47272.773561000002</v>
      </c>
      <c r="K506" s="269">
        <v>46794.486605999999</v>
      </c>
      <c r="L506" s="269">
        <v>478.28695500000322</v>
      </c>
      <c r="M506" s="269">
        <v>1.0221010843159399</v>
      </c>
    </row>
    <row r="507" spans="1:13" ht="25.05" customHeight="1" x14ac:dyDescent="0.3">
      <c r="A507" s="253" t="s">
        <v>749</v>
      </c>
      <c r="B507" s="252" t="s">
        <v>1676</v>
      </c>
      <c r="C507" s="252" t="s">
        <v>1745</v>
      </c>
      <c r="D507" s="252" t="s">
        <v>89</v>
      </c>
      <c r="E507" s="252" t="s">
        <v>46</v>
      </c>
      <c r="F507" s="253" t="s">
        <v>21</v>
      </c>
      <c r="G507" s="253" t="s">
        <v>22</v>
      </c>
      <c r="H507" s="254">
        <v>7259</v>
      </c>
      <c r="I507" s="254">
        <v>4738</v>
      </c>
      <c r="J507" s="254">
        <v>7259</v>
      </c>
      <c r="K507" s="254">
        <v>4738</v>
      </c>
      <c r="L507" s="254">
        <v>2521</v>
      </c>
      <c r="M507" s="254">
        <v>53.20810468552132</v>
      </c>
    </row>
    <row r="508" spans="1:13" ht="25.05" customHeight="1" x14ac:dyDescent="0.3">
      <c r="A508" s="253" t="s">
        <v>749</v>
      </c>
      <c r="B508" s="252" t="s">
        <v>750</v>
      </c>
      <c r="C508" s="252" t="s">
        <v>751</v>
      </c>
      <c r="D508" s="252" t="s">
        <v>89</v>
      </c>
      <c r="E508" s="252" t="s">
        <v>46</v>
      </c>
      <c r="F508" s="253" t="s">
        <v>21</v>
      </c>
      <c r="G508" s="253" t="s">
        <v>22</v>
      </c>
      <c r="H508" s="254">
        <v>1861</v>
      </c>
      <c r="I508" s="254">
        <v>1500</v>
      </c>
      <c r="J508" s="254">
        <v>1861</v>
      </c>
      <c r="K508" s="254">
        <v>1500</v>
      </c>
      <c r="L508" s="254">
        <v>361</v>
      </c>
      <c r="M508" s="254">
        <v>24.066666666666666</v>
      </c>
    </row>
    <row r="509" spans="1:13" ht="25.05" customHeight="1" x14ac:dyDescent="0.3">
      <c r="A509" s="253" t="s">
        <v>749</v>
      </c>
      <c r="B509" s="252" t="s">
        <v>752</v>
      </c>
      <c r="C509" s="252" t="s">
        <v>753</v>
      </c>
      <c r="D509" s="252" t="s">
        <v>89</v>
      </c>
      <c r="E509" s="252" t="s">
        <v>46</v>
      </c>
      <c r="F509" s="253" t="s">
        <v>21</v>
      </c>
      <c r="G509" s="253" t="s">
        <v>22</v>
      </c>
      <c r="H509" s="254">
        <v>3338</v>
      </c>
      <c r="I509" s="254">
        <v>3931</v>
      </c>
      <c r="J509" s="254">
        <v>3338</v>
      </c>
      <c r="K509" s="254">
        <v>3931</v>
      </c>
      <c r="L509" s="254">
        <v>-593</v>
      </c>
      <c r="M509" s="254">
        <v>-15.085220045789876</v>
      </c>
    </row>
    <row r="510" spans="1:13" ht="25.05" customHeight="1" x14ac:dyDescent="0.3">
      <c r="A510" s="253" t="s">
        <v>749</v>
      </c>
      <c r="B510" s="252" t="s">
        <v>754</v>
      </c>
      <c r="C510" s="252" t="s">
        <v>755</v>
      </c>
      <c r="D510" s="252" t="s">
        <v>89</v>
      </c>
      <c r="E510" s="252" t="s">
        <v>46</v>
      </c>
      <c r="F510" s="253" t="s">
        <v>21</v>
      </c>
      <c r="G510" s="253" t="s">
        <v>22</v>
      </c>
      <c r="H510" s="254">
        <v>1672</v>
      </c>
      <c r="I510" s="254">
        <v>1655</v>
      </c>
      <c r="J510" s="254">
        <v>1672</v>
      </c>
      <c r="K510" s="254">
        <v>1655</v>
      </c>
      <c r="L510" s="254">
        <v>17</v>
      </c>
      <c r="M510" s="254">
        <v>1.0271903323262841</v>
      </c>
    </row>
    <row r="511" spans="1:13" ht="25.05" customHeight="1" x14ac:dyDescent="0.3">
      <c r="A511" s="253" t="s">
        <v>749</v>
      </c>
      <c r="B511" s="252" t="s">
        <v>756</v>
      </c>
      <c r="C511" s="252" t="s">
        <v>757</v>
      </c>
      <c r="D511" s="252" t="s">
        <v>89</v>
      </c>
      <c r="E511" s="252" t="s">
        <v>46</v>
      </c>
      <c r="F511" s="253" t="s">
        <v>21</v>
      </c>
      <c r="G511" s="253" t="s">
        <v>22</v>
      </c>
      <c r="H511" s="254">
        <v>488</v>
      </c>
      <c r="I511" s="254">
        <v>379</v>
      </c>
      <c r="J511" s="254">
        <v>488</v>
      </c>
      <c r="K511" s="254">
        <v>379</v>
      </c>
      <c r="L511" s="254">
        <v>109</v>
      </c>
      <c r="M511" s="254">
        <v>28.759894459102902</v>
      </c>
    </row>
    <row r="512" spans="1:13" ht="25.05" customHeight="1" x14ac:dyDescent="0.3">
      <c r="A512" s="253" t="s">
        <v>749</v>
      </c>
      <c r="B512" s="252" t="s">
        <v>758</v>
      </c>
      <c r="C512" s="252">
        <v>0</v>
      </c>
      <c r="D512" s="252" t="s">
        <v>89</v>
      </c>
      <c r="E512" s="252" t="s">
        <v>20</v>
      </c>
      <c r="F512" s="253" t="s">
        <v>21</v>
      </c>
      <c r="G512" s="253" t="s">
        <v>22</v>
      </c>
      <c r="H512" s="254">
        <v>14618</v>
      </c>
      <c r="I512" s="254">
        <v>12203</v>
      </c>
      <c r="J512" s="254">
        <v>14618</v>
      </c>
      <c r="K512" s="254">
        <v>12203</v>
      </c>
      <c r="L512" s="254">
        <v>2415</v>
      </c>
      <c r="M512" s="254">
        <v>19.790215520773579</v>
      </c>
    </row>
    <row r="513" spans="1:13" ht="25.05" customHeight="1" x14ac:dyDescent="0.3">
      <c r="A513" s="253" t="s">
        <v>749</v>
      </c>
      <c r="B513" s="252" t="s">
        <v>759</v>
      </c>
      <c r="C513" s="252" t="s">
        <v>760</v>
      </c>
      <c r="D513" s="252" t="s">
        <v>89</v>
      </c>
      <c r="E513" s="252" t="s">
        <v>46</v>
      </c>
      <c r="F513" s="253" t="s">
        <v>21</v>
      </c>
      <c r="G513" s="253" t="s">
        <v>22</v>
      </c>
      <c r="H513" s="254">
        <v>349</v>
      </c>
      <c r="I513" s="254">
        <v>600</v>
      </c>
      <c r="J513" s="254">
        <v>349</v>
      </c>
      <c r="K513" s="254">
        <v>600</v>
      </c>
      <c r="L513" s="254">
        <v>-251</v>
      </c>
      <c r="M513" s="254">
        <v>-41.833333333333336</v>
      </c>
    </row>
    <row r="514" spans="1:13" ht="25.05" customHeight="1" x14ac:dyDescent="0.3">
      <c r="A514" s="253" t="s">
        <v>749</v>
      </c>
      <c r="B514" s="252" t="s">
        <v>761</v>
      </c>
      <c r="C514" s="252" t="s">
        <v>762</v>
      </c>
      <c r="D514" s="252" t="s">
        <v>89</v>
      </c>
      <c r="E514" s="252" t="s">
        <v>46</v>
      </c>
      <c r="F514" s="253" t="s">
        <v>21</v>
      </c>
      <c r="G514" s="253" t="s">
        <v>22</v>
      </c>
      <c r="H514" s="254">
        <v>269</v>
      </c>
      <c r="I514" s="254">
        <v>406</v>
      </c>
      <c r="J514" s="254">
        <v>269</v>
      </c>
      <c r="K514" s="254">
        <v>406</v>
      </c>
      <c r="L514" s="254">
        <v>-137</v>
      </c>
      <c r="M514" s="254">
        <v>-33.743842364532014</v>
      </c>
    </row>
    <row r="515" spans="1:13" ht="25.05" customHeight="1" x14ac:dyDescent="0.3">
      <c r="A515" s="253" t="s">
        <v>749</v>
      </c>
      <c r="B515" s="252" t="s">
        <v>763</v>
      </c>
      <c r="C515" s="252" t="s">
        <v>764</v>
      </c>
      <c r="D515" s="252" t="s">
        <v>89</v>
      </c>
      <c r="E515" s="252" t="s">
        <v>46</v>
      </c>
      <c r="F515" s="253" t="s">
        <v>21</v>
      </c>
      <c r="G515" s="253" t="s">
        <v>22</v>
      </c>
      <c r="H515" s="254">
        <v>196</v>
      </c>
      <c r="I515" s="254">
        <v>369</v>
      </c>
      <c r="J515" s="254">
        <v>196</v>
      </c>
      <c r="K515" s="254">
        <v>369</v>
      </c>
      <c r="L515" s="254">
        <v>-173</v>
      </c>
      <c r="M515" s="254">
        <v>-46.883468834688344</v>
      </c>
    </row>
    <row r="516" spans="1:13" ht="25.05" customHeight="1" x14ac:dyDescent="0.3">
      <c r="A516" s="253" t="s">
        <v>749</v>
      </c>
      <c r="B516" s="252" t="s">
        <v>765</v>
      </c>
      <c r="C516" s="252" t="s">
        <v>766</v>
      </c>
      <c r="D516" s="252" t="s">
        <v>89</v>
      </c>
      <c r="E516" s="252" t="s">
        <v>46</v>
      </c>
      <c r="F516" s="253" t="s">
        <v>21</v>
      </c>
      <c r="G516" s="253" t="s">
        <v>22</v>
      </c>
      <c r="H516" s="254">
        <v>1448</v>
      </c>
      <c r="I516" s="254">
        <v>2813</v>
      </c>
      <c r="J516" s="254">
        <v>1448</v>
      </c>
      <c r="K516" s="254">
        <v>2813</v>
      </c>
      <c r="L516" s="254">
        <v>-1365</v>
      </c>
      <c r="M516" s="254">
        <v>-48.524706718805547</v>
      </c>
    </row>
    <row r="517" spans="1:13" ht="25.05" customHeight="1" x14ac:dyDescent="0.3">
      <c r="A517" s="253" t="s">
        <v>749</v>
      </c>
      <c r="B517" s="252" t="s">
        <v>767</v>
      </c>
      <c r="C517" s="252">
        <v>0</v>
      </c>
      <c r="D517" s="252" t="s">
        <v>89</v>
      </c>
      <c r="E517" s="252" t="s">
        <v>20</v>
      </c>
      <c r="F517" s="253" t="s">
        <v>21</v>
      </c>
      <c r="G517" s="253" t="s">
        <v>22</v>
      </c>
      <c r="H517" s="254">
        <v>2262</v>
      </c>
      <c r="I517" s="254">
        <v>4188</v>
      </c>
      <c r="J517" s="254">
        <v>2262</v>
      </c>
      <c r="K517" s="254">
        <v>4188</v>
      </c>
      <c r="L517" s="254">
        <v>-1926</v>
      </c>
      <c r="M517" s="254">
        <v>-45.988538681948427</v>
      </c>
    </row>
    <row r="518" spans="1:13" ht="25.05" customHeight="1" x14ac:dyDescent="0.3">
      <c r="A518" s="253" t="s">
        <v>749</v>
      </c>
      <c r="B518" s="252" t="s">
        <v>768</v>
      </c>
      <c r="C518" s="252">
        <v>0</v>
      </c>
      <c r="D518" s="252" t="s">
        <v>89</v>
      </c>
      <c r="E518" s="252" t="s">
        <v>20</v>
      </c>
      <c r="F518" s="253" t="s">
        <v>21</v>
      </c>
      <c r="G518" s="253" t="s">
        <v>22</v>
      </c>
      <c r="H518" s="254">
        <v>58</v>
      </c>
      <c r="I518" s="254">
        <v>47</v>
      </c>
      <c r="J518" s="254">
        <v>58</v>
      </c>
      <c r="K518" s="254">
        <v>47</v>
      </c>
      <c r="L518" s="254">
        <v>11</v>
      </c>
      <c r="M518" s="254">
        <v>23.404255319148938</v>
      </c>
    </row>
    <row r="519" spans="1:13" ht="25.05" customHeight="1" x14ac:dyDescent="0.3">
      <c r="A519" s="253" t="s">
        <v>749</v>
      </c>
      <c r="B519" s="252" t="s">
        <v>696</v>
      </c>
      <c r="C519" s="252">
        <v>0</v>
      </c>
      <c r="D519" s="252" t="s">
        <v>89</v>
      </c>
      <c r="E519" s="252" t="s">
        <v>20</v>
      </c>
      <c r="F519" s="253" t="s">
        <v>21</v>
      </c>
      <c r="G519" s="253" t="s">
        <v>22</v>
      </c>
      <c r="H519" s="254">
        <v>16938</v>
      </c>
      <c r="I519" s="254">
        <v>16438</v>
      </c>
      <c r="J519" s="254">
        <v>16938</v>
      </c>
      <c r="K519" s="254">
        <v>16438</v>
      </c>
      <c r="L519" s="254">
        <v>500</v>
      </c>
      <c r="M519" s="254">
        <v>3.041732570872369</v>
      </c>
    </row>
    <row r="520" spans="1:13" ht="25.05" customHeight="1" x14ac:dyDescent="0.3">
      <c r="A520" s="253" t="s">
        <v>749</v>
      </c>
      <c r="B520" s="252" t="s">
        <v>769</v>
      </c>
      <c r="C520" s="252" t="s">
        <v>770</v>
      </c>
      <c r="D520" s="252" t="s">
        <v>89</v>
      </c>
      <c r="E520" s="252" t="s">
        <v>46</v>
      </c>
      <c r="F520" s="253" t="s">
        <v>21</v>
      </c>
      <c r="G520" s="253" t="s">
        <v>22</v>
      </c>
      <c r="H520" s="254">
        <v>272</v>
      </c>
      <c r="I520" s="254">
        <v>643</v>
      </c>
      <c r="J520" s="254">
        <v>272</v>
      </c>
      <c r="K520" s="254">
        <v>643</v>
      </c>
      <c r="L520" s="254">
        <v>-371</v>
      </c>
      <c r="M520" s="254">
        <v>-57.698289269051315</v>
      </c>
    </row>
    <row r="521" spans="1:13" ht="25.05" customHeight="1" x14ac:dyDescent="0.3">
      <c r="A521" s="253" t="s">
        <v>749</v>
      </c>
      <c r="B521" s="252" t="s">
        <v>771</v>
      </c>
      <c r="C521" s="252" t="s">
        <v>772</v>
      </c>
      <c r="D521" s="252" t="s">
        <v>89</v>
      </c>
      <c r="E521" s="252" t="s">
        <v>46</v>
      </c>
      <c r="F521" s="253" t="s">
        <v>21</v>
      </c>
      <c r="G521" s="253" t="s">
        <v>22</v>
      </c>
      <c r="H521" s="254">
        <v>1599</v>
      </c>
      <c r="I521" s="254">
        <v>1965</v>
      </c>
      <c r="J521" s="254">
        <v>1599</v>
      </c>
      <c r="K521" s="254">
        <v>1965</v>
      </c>
      <c r="L521" s="254">
        <v>-366</v>
      </c>
      <c r="M521" s="254">
        <v>-18.625954198473281</v>
      </c>
    </row>
    <row r="522" spans="1:13" ht="25.05" customHeight="1" x14ac:dyDescent="0.3">
      <c r="A522" s="253" t="s">
        <v>749</v>
      </c>
      <c r="B522" s="252" t="s">
        <v>773</v>
      </c>
      <c r="C522" s="252">
        <v>0</v>
      </c>
      <c r="D522" s="252" t="s">
        <v>89</v>
      </c>
      <c r="E522" s="252" t="s">
        <v>20</v>
      </c>
      <c r="F522" s="253" t="s">
        <v>21</v>
      </c>
      <c r="G522" s="253" t="s">
        <v>22</v>
      </c>
      <c r="H522" s="254">
        <v>193</v>
      </c>
      <c r="I522" s="254">
        <v>328</v>
      </c>
      <c r="J522" s="254">
        <v>193</v>
      </c>
      <c r="K522" s="254">
        <v>328</v>
      </c>
      <c r="L522" s="254">
        <v>-135</v>
      </c>
      <c r="M522" s="254">
        <v>-41.158536585365852</v>
      </c>
    </row>
    <row r="523" spans="1:13" ht="25.05" customHeight="1" x14ac:dyDescent="0.3">
      <c r="A523" s="253" t="s">
        <v>749</v>
      </c>
      <c r="B523" s="252" t="s">
        <v>774</v>
      </c>
      <c r="C523" s="252">
        <v>0</v>
      </c>
      <c r="D523" s="252" t="s">
        <v>89</v>
      </c>
      <c r="E523" s="252" t="s">
        <v>20</v>
      </c>
      <c r="F523" s="253" t="s">
        <v>21</v>
      </c>
      <c r="G523" s="253" t="s">
        <v>22</v>
      </c>
      <c r="H523" s="254">
        <v>2064</v>
      </c>
      <c r="I523" s="254">
        <v>2936</v>
      </c>
      <c r="J523" s="254">
        <v>2064</v>
      </c>
      <c r="K523" s="254">
        <v>2936</v>
      </c>
      <c r="L523" s="254">
        <v>-872</v>
      </c>
      <c r="M523" s="254">
        <v>-29.700272479564031</v>
      </c>
    </row>
    <row r="524" spans="1:13" ht="25.05" customHeight="1" x14ac:dyDescent="0.3">
      <c r="A524" s="253" t="s">
        <v>749</v>
      </c>
      <c r="B524" s="252" t="s">
        <v>775</v>
      </c>
      <c r="C524" s="252" t="s">
        <v>776</v>
      </c>
      <c r="D524" s="252" t="s">
        <v>89</v>
      </c>
      <c r="E524" s="252" t="s">
        <v>46</v>
      </c>
      <c r="F524" s="253" t="s">
        <v>21</v>
      </c>
      <c r="G524" s="253" t="s">
        <v>22</v>
      </c>
      <c r="H524" s="254">
        <v>2811</v>
      </c>
      <c r="I524" s="254">
        <v>0</v>
      </c>
      <c r="J524" s="254">
        <v>2811</v>
      </c>
      <c r="K524" s="254">
        <v>0</v>
      </c>
      <c r="L524" s="254">
        <v>2811</v>
      </c>
      <c r="M524" s="254" t="s">
        <v>67</v>
      </c>
    </row>
    <row r="525" spans="1:13" ht="25.05" customHeight="1" x14ac:dyDescent="0.3">
      <c r="A525" s="253" t="s">
        <v>749</v>
      </c>
      <c r="B525" s="252" t="s">
        <v>775</v>
      </c>
      <c r="C525" s="252">
        <v>0</v>
      </c>
      <c r="D525" s="252" t="s">
        <v>89</v>
      </c>
      <c r="E525" s="252" t="s">
        <v>46</v>
      </c>
      <c r="F525" s="253" t="s">
        <v>21</v>
      </c>
      <c r="G525" s="253" t="s">
        <v>22</v>
      </c>
      <c r="H525" s="254">
        <v>2811</v>
      </c>
      <c r="I525" s="254">
        <v>0</v>
      </c>
      <c r="J525" s="254">
        <v>2811</v>
      </c>
      <c r="K525" s="254">
        <v>0</v>
      </c>
      <c r="L525" s="254">
        <v>2811</v>
      </c>
      <c r="M525" s="254" t="s">
        <v>67</v>
      </c>
    </row>
    <row r="526" spans="1:13" ht="25.05" customHeight="1" x14ac:dyDescent="0.3">
      <c r="A526" s="253" t="s">
        <v>749</v>
      </c>
      <c r="B526" s="252" t="s">
        <v>777</v>
      </c>
      <c r="C526" s="252" t="s">
        <v>778</v>
      </c>
      <c r="D526" s="252" t="s">
        <v>49</v>
      </c>
      <c r="E526" s="252" t="s">
        <v>40</v>
      </c>
      <c r="F526" s="253" t="s">
        <v>21</v>
      </c>
      <c r="G526" s="253" t="s">
        <v>22</v>
      </c>
      <c r="H526" s="254">
        <v>44</v>
      </c>
      <c r="I526" s="254">
        <v>0</v>
      </c>
      <c r="J526" s="254">
        <v>44</v>
      </c>
      <c r="K526" s="254">
        <v>0</v>
      </c>
      <c r="L526" s="254">
        <v>44</v>
      </c>
      <c r="M526" s="254" t="s">
        <v>67</v>
      </c>
    </row>
    <row r="527" spans="1:13" ht="25.05" customHeight="1" x14ac:dyDescent="0.3">
      <c r="A527" s="253" t="s">
        <v>749</v>
      </c>
      <c r="B527" s="252" t="s">
        <v>779</v>
      </c>
      <c r="C527" s="252" t="s">
        <v>780</v>
      </c>
      <c r="D527" s="252" t="s">
        <v>49</v>
      </c>
      <c r="E527" s="252" t="s">
        <v>40</v>
      </c>
      <c r="F527" s="253" t="s">
        <v>21</v>
      </c>
      <c r="G527" s="253" t="s">
        <v>22</v>
      </c>
      <c r="H527" s="254">
        <v>563</v>
      </c>
      <c r="I527" s="254">
        <v>456</v>
      </c>
      <c r="J527" s="254">
        <v>563</v>
      </c>
      <c r="K527" s="254">
        <v>456</v>
      </c>
      <c r="L527" s="254">
        <v>107</v>
      </c>
      <c r="M527" s="254">
        <v>23.464912280701753</v>
      </c>
    </row>
    <row r="528" spans="1:13" ht="25.05" customHeight="1" x14ac:dyDescent="0.3">
      <c r="A528" s="253" t="s">
        <v>749</v>
      </c>
      <c r="B528" s="252" t="s">
        <v>781</v>
      </c>
      <c r="C528" s="252">
        <v>0</v>
      </c>
      <c r="D528" s="252">
        <v>0</v>
      </c>
      <c r="E528" s="252" t="s">
        <v>20</v>
      </c>
      <c r="F528" s="253" t="s">
        <v>21</v>
      </c>
      <c r="G528" s="253" t="s">
        <v>22</v>
      </c>
      <c r="H528" s="254">
        <v>607</v>
      </c>
      <c r="I528" s="254">
        <v>456</v>
      </c>
      <c r="J528" s="254">
        <v>607</v>
      </c>
      <c r="K528" s="254">
        <v>456</v>
      </c>
      <c r="L528" s="254">
        <v>151</v>
      </c>
      <c r="M528" s="254">
        <v>33.114035087719294</v>
      </c>
    </row>
    <row r="529" spans="1:13" ht="25.05" customHeight="1" x14ac:dyDescent="0.3">
      <c r="A529" s="253" t="s">
        <v>749</v>
      </c>
      <c r="B529" s="252" t="s">
        <v>782</v>
      </c>
      <c r="C529" s="252" t="s">
        <v>783</v>
      </c>
      <c r="D529" s="252" t="s">
        <v>49</v>
      </c>
      <c r="E529" s="252" t="s">
        <v>40</v>
      </c>
      <c r="F529" s="253" t="s">
        <v>21</v>
      </c>
      <c r="G529" s="253" t="s">
        <v>22</v>
      </c>
      <c r="H529" s="254">
        <v>49</v>
      </c>
      <c r="I529" s="254">
        <v>0</v>
      </c>
      <c r="J529" s="254">
        <v>49</v>
      </c>
      <c r="K529" s="254">
        <v>0</v>
      </c>
      <c r="L529" s="254">
        <v>49</v>
      </c>
      <c r="M529" s="254" t="s">
        <v>784</v>
      </c>
    </row>
    <row r="530" spans="1:13" ht="25.05" customHeight="1" x14ac:dyDescent="0.3">
      <c r="A530" s="253" t="s">
        <v>749</v>
      </c>
      <c r="B530" s="252" t="s">
        <v>785</v>
      </c>
      <c r="C530" s="252" t="s">
        <v>291</v>
      </c>
      <c r="D530" s="252" t="s">
        <v>89</v>
      </c>
      <c r="E530" s="252" t="s">
        <v>46</v>
      </c>
      <c r="F530" s="253" t="s">
        <v>21</v>
      </c>
      <c r="G530" s="253" t="s">
        <v>22</v>
      </c>
      <c r="H530" s="254">
        <v>436</v>
      </c>
      <c r="I530" s="254">
        <v>407</v>
      </c>
      <c r="J530" s="254">
        <v>436</v>
      </c>
      <c r="K530" s="254">
        <v>407</v>
      </c>
      <c r="L530" s="254">
        <v>29</v>
      </c>
      <c r="M530" s="254">
        <v>7.1253071253071258</v>
      </c>
    </row>
    <row r="531" spans="1:13" ht="25.05" customHeight="1" x14ac:dyDescent="0.3">
      <c r="A531" s="253" t="s">
        <v>749</v>
      </c>
      <c r="B531" s="252" t="s">
        <v>786</v>
      </c>
      <c r="C531" s="252" t="s">
        <v>787</v>
      </c>
      <c r="D531" s="252" t="s">
        <v>129</v>
      </c>
      <c r="E531" s="252" t="s">
        <v>46</v>
      </c>
      <c r="F531" s="253" t="s">
        <v>21</v>
      </c>
      <c r="G531" s="253" t="s">
        <v>22</v>
      </c>
      <c r="H531" s="254">
        <v>314</v>
      </c>
      <c r="I531" s="254">
        <v>618</v>
      </c>
      <c r="J531" s="254">
        <v>314</v>
      </c>
      <c r="K531" s="254">
        <v>618</v>
      </c>
      <c r="L531" s="254">
        <v>-304</v>
      </c>
      <c r="M531" s="254">
        <v>-49.190938511326863</v>
      </c>
    </row>
    <row r="532" spans="1:13" ht="25.05" customHeight="1" x14ac:dyDescent="0.3">
      <c r="A532" s="253" t="s">
        <v>749</v>
      </c>
      <c r="B532" s="252" t="s">
        <v>788</v>
      </c>
      <c r="C532" s="252" t="s">
        <v>789</v>
      </c>
      <c r="D532" s="252" t="s">
        <v>129</v>
      </c>
      <c r="E532" s="252" t="s">
        <v>46</v>
      </c>
      <c r="F532" s="253" t="s">
        <v>21</v>
      </c>
      <c r="G532" s="253" t="s">
        <v>22</v>
      </c>
      <c r="H532" s="254">
        <v>9</v>
      </c>
      <c r="I532" s="254">
        <v>216</v>
      </c>
      <c r="J532" s="254">
        <v>9</v>
      </c>
      <c r="K532" s="254">
        <v>216</v>
      </c>
      <c r="L532" s="254">
        <v>-207</v>
      </c>
      <c r="M532" s="254">
        <v>-95.833333333333343</v>
      </c>
    </row>
    <row r="533" spans="1:13" ht="25.05" customHeight="1" x14ac:dyDescent="0.3">
      <c r="A533" s="253" t="s">
        <v>749</v>
      </c>
      <c r="B533" s="252" t="s">
        <v>790</v>
      </c>
      <c r="C533" s="252" t="s">
        <v>791</v>
      </c>
      <c r="D533" s="252" t="s">
        <v>89</v>
      </c>
      <c r="E533" s="252" t="s">
        <v>46</v>
      </c>
      <c r="F533" s="253" t="s">
        <v>21</v>
      </c>
      <c r="G533" s="253" t="s">
        <v>22</v>
      </c>
      <c r="H533" s="254">
        <v>657</v>
      </c>
      <c r="I533" s="254">
        <v>488</v>
      </c>
      <c r="J533" s="254">
        <v>657</v>
      </c>
      <c r="K533" s="254">
        <v>488</v>
      </c>
      <c r="L533" s="254">
        <v>169</v>
      </c>
      <c r="M533" s="254">
        <v>34.631147540983612</v>
      </c>
    </row>
    <row r="534" spans="1:13" ht="25.05" customHeight="1" x14ac:dyDescent="0.3">
      <c r="A534" s="253" t="s">
        <v>749</v>
      </c>
      <c r="B534" s="252" t="s">
        <v>792</v>
      </c>
      <c r="C534" s="252" t="s">
        <v>791</v>
      </c>
      <c r="D534" s="252" t="s">
        <v>89</v>
      </c>
      <c r="E534" s="252" t="s">
        <v>46</v>
      </c>
      <c r="F534" s="253" t="s">
        <v>21</v>
      </c>
      <c r="G534" s="253" t="s">
        <v>22</v>
      </c>
      <c r="H534" s="254">
        <v>185</v>
      </c>
      <c r="I534" s="254">
        <v>243</v>
      </c>
      <c r="J534" s="254">
        <v>185</v>
      </c>
      <c r="K534" s="254">
        <v>243</v>
      </c>
      <c r="L534" s="254">
        <v>-58</v>
      </c>
      <c r="M534" s="254">
        <v>-23.868312757201647</v>
      </c>
    </row>
    <row r="535" spans="1:13" ht="25.05" customHeight="1" x14ac:dyDescent="0.3">
      <c r="A535" s="253" t="s">
        <v>749</v>
      </c>
      <c r="B535" s="252" t="s">
        <v>793</v>
      </c>
      <c r="C535" s="252" t="s">
        <v>794</v>
      </c>
      <c r="D535" s="252" t="s">
        <v>49</v>
      </c>
      <c r="E535" s="252" t="s">
        <v>46</v>
      </c>
      <c r="F535" s="253" t="s">
        <v>21</v>
      </c>
      <c r="G535" s="253" t="s">
        <v>22</v>
      </c>
      <c r="H535" s="254">
        <v>72</v>
      </c>
      <c r="I535" s="254">
        <v>103</v>
      </c>
      <c r="J535" s="254">
        <v>72</v>
      </c>
      <c r="K535" s="254">
        <v>103</v>
      </c>
      <c r="L535" s="254">
        <v>-31</v>
      </c>
      <c r="M535" s="254">
        <v>-30.097087378640776</v>
      </c>
    </row>
    <row r="536" spans="1:13" ht="25.05" customHeight="1" x14ac:dyDescent="0.3">
      <c r="A536" s="253" t="s">
        <v>749</v>
      </c>
      <c r="B536" s="252" t="s">
        <v>23</v>
      </c>
      <c r="C536" s="252">
        <v>0</v>
      </c>
      <c r="D536" s="252" t="s">
        <v>89</v>
      </c>
      <c r="E536" s="252" t="s">
        <v>20</v>
      </c>
      <c r="F536" s="253" t="s">
        <v>21</v>
      </c>
      <c r="G536" s="253" t="s">
        <v>22</v>
      </c>
      <c r="H536" s="254">
        <v>213</v>
      </c>
      <c r="I536" s="254">
        <v>214</v>
      </c>
      <c r="J536" s="254">
        <v>213</v>
      </c>
      <c r="K536" s="254">
        <v>214</v>
      </c>
      <c r="L536" s="254">
        <v>-1</v>
      </c>
      <c r="M536" s="254">
        <v>-0.46728971962616817</v>
      </c>
    </row>
    <row r="537" spans="1:13" ht="25.05" customHeight="1" x14ac:dyDescent="0.3">
      <c r="A537" s="253" t="s">
        <v>749</v>
      </c>
      <c r="B537" s="252" t="s">
        <v>795</v>
      </c>
      <c r="C537" s="252">
        <v>0</v>
      </c>
      <c r="D537" s="252">
        <v>0</v>
      </c>
      <c r="E537" s="252" t="s">
        <v>20</v>
      </c>
      <c r="F537" s="253" t="s">
        <v>21</v>
      </c>
      <c r="G537" s="253" t="s">
        <v>22</v>
      </c>
      <c r="H537" s="254">
        <v>1886</v>
      </c>
      <c r="I537" s="254">
        <v>2289</v>
      </c>
      <c r="J537" s="254">
        <v>1886</v>
      </c>
      <c r="K537" s="254">
        <v>2289</v>
      </c>
      <c r="L537" s="254">
        <v>-403</v>
      </c>
      <c r="M537" s="254">
        <v>-17.605941459152469</v>
      </c>
    </row>
    <row r="538" spans="1:13" ht="25.05" customHeight="1" x14ac:dyDescent="0.3">
      <c r="A538" s="253" t="s">
        <v>749</v>
      </c>
      <c r="B538" s="252" t="s">
        <v>796</v>
      </c>
      <c r="C538" s="252">
        <v>0</v>
      </c>
      <c r="D538" s="252">
        <v>0</v>
      </c>
      <c r="E538" s="252" t="s">
        <v>20</v>
      </c>
      <c r="F538" s="253" t="s">
        <v>21</v>
      </c>
      <c r="G538" s="253" t="s">
        <v>22</v>
      </c>
      <c r="H538" s="254">
        <v>24355</v>
      </c>
      <c r="I538" s="254">
        <v>22119</v>
      </c>
      <c r="J538" s="254">
        <v>24355</v>
      </c>
      <c r="K538" s="254">
        <v>22119</v>
      </c>
      <c r="L538" s="254">
        <v>2236</v>
      </c>
      <c r="M538" s="254">
        <v>10.108956101089561</v>
      </c>
    </row>
    <row r="539" spans="1:13" ht="25.05" customHeight="1" x14ac:dyDescent="0.3">
      <c r="A539" s="253" t="s">
        <v>749</v>
      </c>
      <c r="B539" s="252" t="s">
        <v>797</v>
      </c>
      <c r="C539" s="252">
        <v>0</v>
      </c>
      <c r="D539" s="252">
        <v>0</v>
      </c>
      <c r="E539" s="252" t="s">
        <v>20</v>
      </c>
      <c r="F539" s="253" t="s">
        <v>21</v>
      </c>
      <c r="G539" s="253" t="s">
        <v>22</v>
      </c>
      <c r="H539" s="254">
        <v>334</v>
      </c>
      <c r="I539" s="254">
        <v>330</v>
      </c>
      <c r="J539" s="254">
        <v>334</v>
      </c>
      <c r="K539" s="254">
        <v>330</v>
      </c>
      <c r="L539" s="254">
        <v>4</v>
      </c>
      <c r="M539" s="254">
        <v>1.2121212121212122</v>
      </c>
    </row>
    <row r="540" spans="1:13" ht="25.05" customHeight="1" x14ac:dyDescent="0.3">
      <c r="A540" s="267" t="s">
        <v>749</v>
      </c>
      <c r="B540" s="268" t="s">
        <v>101</v>
      </c>
      <c r="C540" s="268">
        <v>0</v>
      </c>
      <c r="D540" s="268">
        <v>0</v>
      </c>
      <c r="E540" s="268" t="s">
        <v>20</v>
      </c>
      <c r="F540" s="267" t="s">
        <v>21</v>
      </c>
      <c r="G540" s="267" t="s">
        <v>22</v>
      </c>
      <c r="H540" s="269">
        <v>24689</v>
      </c>
      <c r="I540" s="269">
        <v>22449</v>
      </c>
      <c r="J540" s="269">
        <v>24689</v>
      </c>
      <c r="K540" s="269">
        <v>22449</v>
      </c>
      <c r="L540" s="269">
        <v>2240</v>
      </c>
      <c r="M540" s="269">
        <v>9.9781727471156856</v>
      </c>
    </row>
    <row r="541" spans="1:13" ht="25.05" customHeight="1" x14ac:dyDescent="0.3">
      <c r="A541" s="253" t="s">
        <v>798</v>
      </c>
      <c r="B541" s="252" t="s">
        <v>1750</v>
      </c>
      <c r="C541" s="252" t="s">
        <v>363</v>
      </c>
      <c r="D541" s="252" t="s">
        <v>169</v>
      </c>
      <c r="E541" s="252" t="s">
        <v>46</v>
      </c>
      <c r="F541" s="253" t="s">
        <v>21</v>
      </c>
      <c r="G541" s="253" t="s">
        <v>22</v>
      </c>
      <c r="H541" s="254">
        <v>287</v>
      </c>
      <c r="I541" s="254">
        <v>293</v>
      </c>
      <c r="J541" s="254">
        <v>287</v>
      </c>
      <c r="K541" s="254">
        <v>293</v>
      </c>
      <c r="L541" s="254">
        <v>-6</v>
      </c>
      <c r="M541" s="254">
        <v>-2.0477815699658701</v>
      </c>
    </row>
    <row r="542" spans="1:13" ht="25.05" customHeight="1" x14ac:dyDescent="0.3">
      <c r="A542" s="253" t="s">
        <v>798</v>
      </c>
      <c r="B542" s="252" t="s">
        <v>799</v>
      </c>
      <c r="C542" s="252">
        <v>0</v>
      </c>
      <c r="D542" s="252">
        <v>0</v>
      </c>
      <c r="E542" s="252" t="s">
        <v>20</v>
      </c>
      <c r="F542" s="253" t="s">
        <v>21</v>
      </c>
      <c r="G542" s="253" t="s">
        <v>22</v>
      </c>
      <c r="H542" s="254">
        <v>70</v>
      </c>
      <c r="I542" s="254">
        <v>42</v>
      </c>
      <c r="J542" s="254">
        <v>70</v>
      </c>
      <c r="K542" s="254">
        <v>42</v>
      </c>
      <c r="L542" s="254">
        <v>28</v>
      </c>
      <c r="M542" s="254">
        <v>66.666666666666657</v>
      </c>
    </row>
    <row r="543" spans="1:13" ht="25.05" customHeight="1" x14ac:dyDescent="0.3">
      <c r="A543" s="253" t="s">
        <v>798</v>
      </c>
      <c r="B543" s="252" t="s">
        <v>800</v>
      </c>
      <c r="C543" s="252">
        <v>0</v>
      </c>
      <c r="D543" s="252">
        <v>0</v>
      </c>
      <c r="E543" s="252" t="s">
        <v>20</v>
      </c>
      <c r="F543" s="253" t="s">
        <v>21</v>
      </c>
      <c r="G543" s="253" t="s">
        <v>22</v>
      </c>
      <c r="H543" s="254">
        <v>8</v>
      </c>
      <c r="I543" s="254">
        <v>17</v>
      </c>
      <c r="J543" s="254">
        <v>8</v>
      </c>
      <c r="K543" s="254">
        <v>17</v>
      </c>
      <c r="L543" s="254">
        <v>-9</v>
      </c>
      <c r="M543" s="254">
        <v>-52.941176470588239</v>
      </c>
    </row>
    <row r="544" spans="1:13" ht="25.05" customHeight="1" x14ac:dyDescent="0.3">
      <c r="A544" s="253" t="s">
        <v>798</v>
      </c>
      <c r="B544" s="252" t="s">
        <v>801</v>
      </c>
      <c r="C544" s="252">
        <v>0</v>
      </c>
      <c r="D544" s="252">
        <v>0</v>
      </c>
      <c r="E544" s="252" t="s">
        <v>20</v>
      </c>
      <c r="F544" s="253" t="s">
        <v>21</v>
      </c>
      <c r="G544" s="253" t="s">
        <v>22</v>
      </c>
      <c r="H544" s="254">
        <v>365</v>
      </c>
      <c r="I544" s="254">
        <v>352</v>
      </c>
      <c r="J544" s="254">
        <v>365</v>
      </c>
      <c r="K544" s="254">
        <v>352</v>
      </c>
      <c r="L544" s="254">
        <v>13</v>
      </c>
      <c r="M544" s="254">
        <v>3.6931818181818183</v>
      </c>
    </row>
    <row r="545" spans="1:13" ht="25.05" customHeight="1" x14ac:dyDescent="0.3">
      <c r="A545" s="253" t="s">
        <v>798</v>
      </c>
      <c r="B545" s="252" t="s">
        <v>802</v>
      </c>
      <c r="C545" s="252">
        <v>0</v>
      </c>
      <c r="D545" s="252">
        <v>0</v>
      </c>
      <c r="E545" s="252" t="s">
        <v>20</v>
      </c>
      <c r="F545" s="253" t="s">
        <v>21</v>
      </c>
      <c r="G545" s="253" t="s">
        <v>22</v>
      </c>
      <c r="H545" s="254">
        <v>80</v>
      </c>
      <c r="I545" s="254">
        <v>146</v>
      </c>
      <c r="J545" s="254">
        <v>80</v>
      </c>
      <c r="K545" s="254">
        <v>146</v>
      </c>
      <c r="L545" s="254">
        <v>-66</v>
      </c>
      <c r="M545" s="254">
        <v>-45.205479452054789</v>
      </c>
    </row>
    <row r="546" spans="1:13" ht="25.05" customHeight="1" x14ac:dyDescent="0.3">
      <c r="A546" s="253" t="s">
        <v>798</v>
      </c>
      <c r="B546" s="252" t="s">
        <v>313</v>
      </c>
      <c r="C546" s="252">
        <v>0</v>
      </c>
      <c r="D546" s="252">
        <v>0</v>
      </c>
      <c r="E546" s="252" t="s">
        <v>20</v>
      </c>
      <c r="F546" s="253" t="s">
        <v>21</v>
      </c>
      <c r="G546" s="253" t="s">
        <v>22</v>
      </c>
      <c r="H546" s="254">
        <v>183</v>
      </c>
      <c r="I546" s="254">
        <v>115</v>
      </c>
      <c r="J546" s="254">
        <v>183</v>
      </c>
      <c r="K546" s="254">
        <v>115</v>
      </c>
      <c r="L546" s="254">
        <v>68</v>
      </c>
      <c r="M546" s="254">
        <v>59.130434782608695</v>
      </c>
    </row>
    <row r="547" spans="1:13" ht="25.05" customHeight="1" x14ac:dyDescent="0.3">
      <c r="A547" s="253" t="s">
        <v>798</v>
      </c>
      <c r="B547" s="252" t="s">
        <v>803</v>
      </c>
      <c r="C547" s="252">
        <v>0</v>
      </c>
      <c r="D547" s="252">
        <v>0</v>
      </c>
      <c r="E547" s="252" t="s">
        <v>20</v>
      </c>
      <c r="F547" s="253" t="s">
        <v>21</v>
      </c>
      <c r="G547" s="253" t="s">
        <v>22</v>
      </c>
      <c r="H547" s="254">
        <v>86</v>
      </c>
      <c r="I547" s="254">
        <v>490</v>
      </c>
      <c r="J547" s="254">
        <v>86</v>
      </c>
      <c r="K547" s="254">
        <v>490</v>
      </c>
      <c r="L547" s="254">
        <v>-404</v>
      </c>
      <c r="M547" s="254">
        <v>-82.448979591836732</v>
      </c>
    </row>
    <row r="548" spans="1:13" ht="25.05" customHeight="1" x14ac:dyDescent="0.3">
      <c r="A548" s="253" t="s">
        <v>798</v>
      </c>
      <c r="B548" s="252" t="s">
        <v>804</v>
      </c>
      <c r="C548" s="252">
        <v>0</v>
      </c>
      <c r="D548" s="252">
        <v>0</v>
      </c>
      <c r="E548" s="252" t="s">
        <v>20</v>
      </c>
      <c r="F548" s="253" t="s">
        <v>21</v>
      </c>
      <c r="G548" s="253" t="s">
        <v>22</v>
      </c>
      <c r="H548" s="254">
        <v>15</v>
      </c>
      <c r="I548" s="254">
        <v>20</v>
      </c>
      <c r="J548" s="254">
        <v>15</v>
      </c>
      <c r="K548" s="254">
        <v>20</v>
      </c>
      <c r="L548" s="254">
        <v>-5</v>
      </c>
      <c r="M548" s="254">
        <v>-25</v>
      </c>
    </row>
    <row r="549" spans="1:13" ht="25.05" customHeight="1" x14ac:dyDescent="0.3">
      <c r="A549" s="253" t="s">
        <v>798</v>
      </c>
      <c r="B549" s="252" t="s">
        <v>805</v>
      </c>
      <c r="C549" s="252">
        <v>0</v>
      </c>
      <c r="D549" s="252">
        <v>0</v>
      </c>
      <c r="E549" s="252" t="s">
        <v>20</v>
      </c>
      <c r="F549" s="253" t="s">
        <v>21</v>
      </c>
      <c r="G549" s="253" t="s">
        <v>22</v>
      </c>
      <c r="H549" s="254">
        <v>364</v>
      </c>
      <c r="I549" s="254">
        <v>771</v>
      </c>
      <c r="J549" s="254">
        <v>364</v>
      </c>
      <c r="K549" s="254">
        <v>771</v>
      </c>
      <c r="L549" s="254">
        <v>-407</v>
      </c>
      <c r="M549" s="254">
        <v>-52.788586251621275</v>
      </c>
    </row>
    <row r="550" spans="1:13" ht="25.05" customHeight="1" x14ac:dyDescent="0.3">
      <c r="A550" s="267" t="s">
        <v>798</v>
      </c>
      <c r="B550" s="268" t="s">
        <v>501</v>
      </c>
      <c r="C550" s="268">
        <v>0</v>
      </c>
      <c r="D550" s="268">
        <v>0</v>
      </c>
      <c r="E550" s="268" t="s">
        <v>20</v>
      </c>
      <c r="F550" s="267" t="s">
        <v>21</v>
      </c>
      <c r="G550" s="267" t="s">
        <v>22</v>
      </c>
      <c r="H550" s="269">
        <v>729</v>
      </c>
      <c r="I550" s="269">
        <v>1123</v>
      </c>
      <c r="J550" s="269">
        <v>729</v>
      </c>
      <c r="K550" s="269">
        <v>1123</v>
      </c>
      <c r="L550" s="269">
        <v>-394</v>
      </c>
      <c r="M550" s="269">
        <v>-35.084594835262692</v>
      </c>
    </row>
    <row r="551" spans="1:13" ht="25.05" customHeight="1" x14ac:dyDescent="0.3">
      <c r="A551" s="253" t="s">
        <v>806</v>
      </c>
      <c r="B551" s="252" t="s">
        <v>1752</v>
      </c>
      <c r="C551" s="252" t="s">
        <v>1753</v>
      </c>
      <c r="D551" s="252" t="s">
        <v>49</v>
      </c>
      <c r="E551" s="252" t="s">
        <v>46</v>
      </c>
      <c r="F551" s="253" t="s">
        <v>316</v>
      </c>
      <c r="G551" s="253" t="s">
        <v>22</v>
      </c>
      <c r="H551" s="254">
        <v>1145.5999999999999</v>
      </c>
      <c r="I551" s="254">
        <v>1031.5999999999999</v>
      </c>
      <c r="J551" s="254">
        <v>1385.7120319999999</v>
      </c>
      <c r="K551" s="254">
        <v>1247.8182019999999</v>
      </c>
      <c r="L551" s="254">
        <v>137.89382999999998</v>
      </c>
      <c r="M551" s="254">
        <v>11.050794881737106</v>
      </c>
    </row>
    <row r="552" spans="1:13" ht="25.05" customHeight="1" x14ac:dyDescent="0.3">
      <c r="A552" s="253" t="s">
        <v>806</v>
      </c>
      <c r="B552" s="252" t="s">
        <v>807</v>
      </c>
      <c r="C552" s="252" t="s">
        <v>808</v>
      </c>
      <c r="D552" s="252" t="s">
        <v>49</v>
      </c>
      <c r="E552" s="252" t="s">
        <v>46</v>
      </c>
      <c r="F552" s="253" t="s">
        <v>316</v>
      </c>
      <c r="G552" s="253" t="s">
        <v>22</v>
      </c>
      <c r="H552" s="254">
        <v>390.5</v>
      </c>
      <c r="I552" s="254">
        <v>407.4</v>
      </c>
      <c r="J552" s="254">
        <v>472.34684749999997</v>
      </c>
      <c r="K552" s="254">
        <v>492.78900299999998</v>
      </c>
      <c r="L552" s="254">
        <v>-20.442155500000013</v>
      </c>
      <c r="M552" s="254">
        <v>-4.1482572410407492</v>
      </c>
    </row>
    <row r="553" spans="1:13" ht="25.05" customHeight="1" x14ac:dyDescent="0.3">
      <c r="A553" s="253" t="s">
        <v>806</v>
      </c>
      <c r="B553" s="252" t="s">
        <v>809</v>
      </c>
      <c r="C553" s="252" t="s">
        <v>810</v>
      </c>
      <c r="D553" s="252" t="s">
        <v>49</v>
      </c>
      <c r="E553" s="252" t="s">
        <v>46</v>
      </c>
      <c r="F553" s="253" t="s">
        <v>316</v>
      </c>
      <c r="G553" s="253" t="s">
        <v>22</v>
      </c>
      <c r="H553" s="254">
        <v>288.89999999999998</v>
      </c>
      <c r="I553" s="254">
        <v>242.2</v>
      </c>
      <c r="J553" s="254">
        <v>349.45199549999995</v>
      </c>
      <c r="K553" s="254">
        <v>292.963909</v>
      </c>
      <c r="L553" s="254">
        <v>56.488086499999952</v>
      </c>
      <c r="M553" s="254">
        <v>19.281585466556546</v>
      </c>
    </row>
    <row r="554" spans="1:13" ht="25.05" customHeight="1" x14ac:dyDescent="0.3">
      <c r="A554" s="253" t="s">
        <v>806</v>
      </c>
      <c r="B554" s="252" t="s">
        <v>811</v>
      </c>
      <c r="C554" s="252" t="s">
        <v>812</v>
      </c>
      <c r="D554" s="252" t="s">
        <v>49</v>
      </c>
      <c r="E554" s="252" t="s">
        <v>46</v>
      </c>
      <c r="F554" s="253" t="s">
        <v>316</v>
      </c>
      <c r="G554" s="253" t="s">
        <v>22</v>
      </c>
      <c r="H554" s="254">
        <v>123.3</v>
      </c>
      <c r="I554" s="254">
        <v>134.69999999999999</v>
      </c>
      <c r="J554" s="254">
        <v>149.14306349999998</v>
      </c>
      <c r="K554" s="254">
        <v>162.93244649999997</v>
      </c>
      <c r="L554" s="254">
        <v>-13.789382999999987</v>
      </c>
      <c r="M554" s="254">
        <v>-8.4632516703786127</v>
      </c>
    </row>
    <row r="555" spans="1:13" ht="25.05" customHeight="1" x14ac:dyDescent="0.3">
      <c r="A555" s="253" t="s">
        <v>806</v>
      </c>
      <c r="B555" s="252" t="s">
        <v>620</v>
      </c>
      <c r="C555" s="252">
        <v>0</v>
      </c>
      <c r="D555" s="252" t="s">
        <v>49</v>
      </c>
      <c r="E555" s="252" t="s">
        <v>20</v>
      </c>
      <c r="F555" s="253" t="s">
        <v>316</v>
      </c>
      <c r="G555" s="253" t="s">
        <v>22</v>
      </c>
      <c r="H555" s="254">
        <v>21.8</v>
      </c>
      <c r="I555" s="254">
        <v>28.5</v>
      </c>
      <c r="J555" s="254">
        <v>26.369171000000001</v>
      </c>
      <c r="K555" s="254">
        <v>34.473457500000002</v>
      </c>
      <c r="L555" s="254">
        <v>-8.1042865000000006</v>
      </c>
      <c r="M555" s="254">
        <v>-23.508771929824562</v>
      </c>
    </row>
    <row r="556" spans="1:13" ht="25.05" customHeight="1" x14ac:dyDescent="0.3">
      <c r="A556" s="253" t="s">
        <v>806</v>
      </c>
      <c r="B556" s="252" t="s">
        <v>49</v>
      </c>
      <c r="C556" s="252">
        <v>0</v>
      </c>
      <c r="D556" s="252" t="s">
        <v>49</v>
      </c>
      <c r="E556" s="252" t="s">
        <v>20</v>
      </c>
      <c r="F556" s="253" t="s">
        <v>316</v>
      </c>
      <c r="G556" s="253" t="s">
        <v>22</v>
      </c>
      <c r="H556" s="254">
        <v>1969.8</v>
      </c>
      <c r="I556" s="254">
        <v>1844.4</v>
      </c>
      <c r="J556" s="254">
        <v>2382.6602309999998</v>
      </c>
      <c r="K556" s="254">
        <v>2230.977018</v>
      </c>
      <c r="L556" s="254">
        <v>151.6832129999998</v>
      </c>
      <c r="M556" s="254">
        <v>6.7989590110604983</v>
      </c>
    </row>
    <row r="557" spans="1:13" ht="25.05" customHeight="1" x14ac:dyDescent="0.3">
      <c r="A557" s="253" t="s">
        <v>806</v>
      </c>
      <c r="B557" s="252" t="s">
        <v>813</v>
      </c>
      <c r="C557" s="252" t="s">
        <v>814</v>
      </c>
      <c r="D557" s="252" t="s">
        <v>62</v>
      </c>
      <c r="E557" s="252" t="s">
        <v>40</v>
      </c>
      <c r="F557" s="253" t="s">
        <v>316</v>
      </c>
      <c r="G557" s="253" t="s">
        <v>22</v>
      </c>
      <c r="H557" s="254">
        <v>353.2</v>
      </c>
      <c r="I557" s="254">
        <v>388.3</v>
      </c>
      <c r="J557" s="254">
        <v>427.22895399999999</v>
      </c>
      <c r="K557" s="254">
        <v>469.68573850000001</v>
      </c>
      <c r="L557" s="254">
        <v>-42.456784500000026</v>
      </c>
      <c r="M557" s="254">
        <v>-9.0394025238217921</v>
      </c>
    </row>
    <row r="558" spans="1:13" ht="25.05" customHeight="1" x14ac:dyDescent="0.3">
      <c r="A558" s="253" t="s">
        <v>806</v>
      </c>
      <c r="B558" s="252" t="s">
        <v>69</v>
      </c>
      <c r="C558" s="252">
        <v>0</v>
      </c>
      <c r="D558" s="252" t="s">
        <v>62</v>
      </c>
      <c r="E558" s="252" t="s">
        <v>20</v>
      </c>
      <c r="F558" s="253" t="s">
        <v>316</v>
      </c>
      <c r="G558" s="253" t="s">
        <v>22</v>
      </c>
      <c r="H558" s="254">
        <v>356.1</v>
      </c>
      <c r="I558" s="254">
        <v>391.3</v>
      </c>
      <c r="J558" s="254">
        <v>430.73677950000001</v>
      </c>
      <c r="K558" s="254">
        <v>473.31452350000001</v>
      </c>
      <c r="L558" s="254">
        <v>-42.577743999999996</v>
      </c>
      <c r="M558" s="254">
        <v>-8.9956555072834128</v>
      </c>
    </row>
    <row r="559" spans="1:13" ht="25.05" customHeight="1" x14ac:dyDescent="0.3">
      <c r="A559" s="253" t="s">
        <v>806</v>
      </c>
      <c r="B559" s="252" t="s">
        <v>815</v>
      </c>
      <c r="C559" s="252" t="s">
        <v>816</v>
      </c>
      <c r="D559" s="252" t="s">
        <v>100</v>
      </c>
      <c r="E559" s="252" t="s">
        <v>40</v>
      </c>
      <c r="F559" s="253" t="s">
        <v>316</v>
      </c>
      <c r="G559" s="253" t="s">
        <v>22</v>
      </c>
      <c r="H559" s="254">
        <v>36.799999999999997</v>
      </c>
      <c r="I559" s="254">
        <v>41.8</v>
      </c>
      <c r="J559" s="254">
        <v>44.513095999999997</v>
      </c>
      <c r="K559" s="254">
        <v>50.561070999999998</v>
      </c>
      <c r="L559" s="254">
        <v>-6.047975000000001</v>
      </c>
      <c r="M559" s="254">
        <v>-11.96172248803828</v>
      </c>
    </row>
    <row r="560" spans="1:13" ht="25.05" customHeight="1" x14ac:dyDescent="0.3">
      <c r="A560" s="253" t="s">
        <v>806</v>
      </c>
      <c r="B560" s="252" t="s">
        <v>817</v>
      </c>
      <c r="C560" s="252" t="s">
        <v>818</v>
      </c>
      <c r="D560" s="252" t="s">
        <v>116</v>
      </c>
      <c r="E560" s="252" t="s">
        <v>40</v>
      </c>
      <c r="F560" s="253" t="s">
        <v>316</v>
      </c>
      <c r="G560" s="253" t="s">
        <v>22</v>
      </c>
      <c r="H560" s="254">
        <v>19</v>
      </c>
      <c r="I560" s="254">
        <v>21.9</v>
      </c>
      <c r="J560" s="254">
        <v>22.982305</v>
      </c>
      <c r="K560" s="254">
        <v>26.490130499999999</v>
      </c>
      <c r="L560" s="254">
        <v>-3.5078254999999992</v>
      </c>
      <c r="M560" s="254">
        <v>-13.242009132420089</v>
      </c>
    </row>
    <row r="561" spans="1:13" ht="25.05" customHeight="1" x14ac:dyDescent="0.3">
      <c r="A561" s="253" t="s">
        <v>806</v>
      </c>
      <c r="B561" s="252" t="s">
        <v>819</v>
      </c>
      <c r="C561" s="252">
        <v>0</v>
      </c>
      <c r="D561" s="252">
        <v>0</v>
      </c>
      <c r="E561" s="252" t="s">
        <v>20</v>
      </c>
      <c r="F561" s="253" t="s">
        <v>316</v>
      </c>
      <c r="G561" s="253" t="s">
        <v>22</v>
      </c>
      <c r="H561" s="254">
        <v>55.2</v>
      </c>
      <c r="I561" s="254">
        <v>63.7</v>
      </c>
      <c r="J561" s="254">
        <v>66.769644</v>
      </c>
      <c r="K561" s="254">
        <v>77.051201500000005</v>
      </c>
      <c r="L561" s="254">
        <v>-10.281557500000005</v>
      </c>
      <c r="M561" s="254">
        <v>-13.343799058084779</v>
      </c>
    </row>
    <row r="562" spans="1:13" ht="25.05" customHeight="1" x14ac:dyDescent="0.3">
      <c r="A562" s="253" t="s">
        <v>806</v>
      </c>
      <c r="B562" s="252" t="s">
        <v>820</v>
      </c>
      <c r="C562" s="252" t="s">
        <v>821</v>
      </c>
      <c r="D562" s="252" t="s">
        <v>97</v>
      </c>
      <c r="E562" s="252" t="s">
        <v>46</v>
      </c>
      <c r="F562" s="253" t="s">
        <v>316</v>
      </c>
      <c r="G562" s="253" t="s">
        <v>22</v>
      </c>
      <c r="H562" s="254">
        <v>80.900000000000006</v>
      </c>
      <c r="I562" s="254">
        <v>125.6</v>
      </c>
      <c r="J562" s="254">
        <v>97.856235500000011</v>
      </c>
      <c r="K562" s="254">
        <v>151.92513199999999</v>
      </c>
      <c r="L562" s="254">
        <v>-54.06889649999998</v>
      </c>
      <c r="M562" s="254">
        <v>-35.58917197452228</v>
      </c>
    </row>
    <row r="563" spans="1:13" ht="25.05" customHeight="1" x14ac:dyDescent="0.3">
      <c r="A563" s="253" t="s">
        <v>806</v>
      </c>
      <c r="B563" s="252" t="s">
        <v>822</v>
      </c>
      <c r="C563" s="252" t="s">
        <v>823</v>
      </c>
      <c r="D563" s="252" t="s">
        <v>97</v>
      </c>
      <c r="E563" s="252" t="s">
        <v>46</v>
      </c>
      <c r="F563" s="253" t="s">
        <v>316</v>
      </c>
      <c r="G563" s="253" t="s">
        <v>22</v>
      </c>
      <c r="H563" s="254">
        <v>39</v>
      </c>
      <c r="I563" s="254">
        <v>42.1</v>
      </c>
      <c r="J563" s="254">
        <v>47.174205000000001</v>
      </c>
      <c r="K563" s="254">
        <v>50.923949499999999</v>
      </c>
      <c r="L563" s="254">
        <v>-3.7497444999999985</v>
      </c>
      <c r="M563" s="254">
        <v>-7.3634204275534412</v>
      </c>
    </row>
    <row r="564" spans="1:13" ht="25.05" customHeight="1" x14ac:dyDescent="0.3">
      <c r="A564" s="253" t="s">
        <v>806</v>
      </c>
      <c r="B564" s="252" t="s">
        <v>824</v>
      </c>
      <c r="C564" s="252" t="s">
        <v>825</v>
      </c>
      <c r="D564" s="252" t="s">
        <v>62</v>
      </c>
      <c r="E564" s="252" t="s">
        <v>40</v>
      </c>
      <c r="F564" s="253" t="s">
        <v>316</v>
      </c>
      <c r="G564" s="253" t="s">
        <v>22</v>
      </c>
      <c r="H564" s="254">
        <v>35.200000000000003</v>
      </c>
      <c r="I564" s="254">
        <v>36.700000000000003</v>
      </c>
      <c r="J564" s="254">
        <v>42.577744000000003</v>
      </c>
      <c r="K564" s="254">
        <v>44.392136499999999</v>
      </c>
      <c r="L564" s="254">
        <v>-1.8143924999999967</v>
      </c>
      <c r="M564" s="254">
        <v>-4.0871934604904565</v>
      </c>
    </row>
    <row r="565" spans="1:13" ht="25.05" customHeight="1" x14ac:dyDescent="0.3">
      <c r="A565" s="253" t="s">
        <v>806</v>
      </c>
      <c r="B565" s="252" t="s">
        <v>826</v>
      </c>
      <c r="C565" s="252" t="s">
        <v>823</v>
      </c>
      <c r="D565" s="252" t="s">
        <v>97</v>
      </c>
      <c r="E565" s="252" t="s">
        <v>46</v>
      </c>
      <c r="F565" s="253" t="s">
        <v>316</v>
      </c>
      <c r="G565" s="253" t="s">
        <v>22</v>
      </c>
      <c r="H565" s="254">
        <v>28.1</v>
      </c>
      <c r="I565" s="254">
        <v>36.799999999999997</v>
      </c>
      <c r="J565" s="254">
        <v>33.989619500000003</v>
      </c>
      <c r="K565" s="254">
        <v>44.513095999999997</v>
      </c>
      <c r="L565" s="254">
        <v>-10.523476499999994</v>
      </c>
      <c r="M565" s="254">
        <v>-23.641304347826075</v>
      </c>
    </row>
    <row r="566" spans="1:13" ht="25.05" customHeight="1" x14ac:dyDescent="0.3">
      <c r="A566" s="253" t="s">
        <v>806</v>
      </c>
      <c r="B566" s="252" t="s">
        <v>827</v>
      </c>
      <c r="C566" s="252">
        <v>0</v>
      </c>
      <c r="D566" s="252">
        <v>0</v>
      </c>
      <c r="E566" s="252" t="s">
        <v>20</v>
      </c>
      <c r="F566" s="253" t="s">
        <v>316</v>
      </c>
      <c r="G566" s="253" t="s">
        <v>22</v>
      </c>
      <c r="H566" s="254">
        <v>27.4</v>
      </c>
      <c r="I566" s="254">
        <v>35.6</v>
      </c>
      <c r="J566" s="254">
        <v>33.142902999999997</v>
      </c>
      <c r="K566" s="254">
        <v>43.061582000000001</v>
      </c>
      <c r="L566" s="254">
        <v>-9.9186790000000045</v>
      </c>
      <c r="M566" s="254">
        <v>-23.033707865168548</v>
      </c>
    </row>
    <row r="567" spans="1:13" ht="25.05" customHeight="1" x14ac:dyDescent="0.3">
      <c r="A567" s="253" t="s">
        <v>806</v>
      </c>
      <c r="B567" s="252" t="s">
        <v>828</v>
      </c>
      <c r="C567" s="252">
        <v>0</v>
      </c>
      <c r="D567" s="252">
        <v>0</v>
      </c>
      <c r="E567" s="252" t="s">
        <v>20</v>
      </c>
      <c r="F567" s="253" t="s">
        <v>316</v>
      </c>
      <c r="G567" s="253" t="s">
        <v>22</v>
      </c>
      <c r="H567" s="254">
        <v>2381.4</v>
      </c>
      <c r="I567" s="254">
        <v>2299.4</v>
      </c>
      <c r="J567" s="254">
        <v>2880.5295329999999</v>
      </c>
      <c r="K567" s="254">
        <v>2781.3427430000002</v>
      </c>
      <c r="L567" s="254">
        <v>99.186789999999746</v>
      </c>
      <c r="M567" s="254">
        <v>3.566147690701913</v>
      </c>
    </row>
    <row r="568" spans="1:13" ht="25.05" customHeight="1" x14ac:dyDescent="0.3">
      <c r="A568" s="253" t="s">
        <v>806</v>
      </c>
      <c r="B568" s="252" t="s">
        <v>829</v>
      </c>
      <c r="C568" s="252">
        <v>0</v>
      </c>
      <c r="D568" s="252">
        <v>0</v>
      </c>
      <c r="E568" s="252" t="s">
        <v>20</v>
      </c>
      <c r="F568" s="253" t="s">
        <v>316</v>
      </c>
      <c r="G568" s="253" t="s">
        <v>22</v>
      </c>
      <c r="H568" s="254">
        <v>210.6</v>
      </c>
      <c r="I568" s="254">
        <v>276.8</v>
      </c>
      <c r="J568" s="254">
        <v>254.74070699999999</v>
      </c>
      <c r="K568" s="254">
        <v>334.81589600000001</v>
      </c>
      <c r="L568" s="254">
        <v>-80.075189000000023</v>
      </c>
      <c r="M568" s="254">
        <v>-23.916184971098271</v>
      </c>
    </row>
    <row r="569" spans="1:13" ht="25.05" customHeight="1" x14ac:dyDescent="0.3">
      <c r="A569" s="253" t="s">
        <v>806</v>
      </c>
      <c r="B569" s="252" t="s">
        <v>830</v>
      </c>
      <c r="C569" s="252">
        <v>0</v>
      </c>
      <c r="D569" s="252">
        <v>0</v>
      </c>
      <c r="E569" s="252" t="s">
        <v>20</v>
      </c>
      <c r="F569" s="253" t="s">
        <v>316</v>
      </c>
      <c r="G569" s="253" t="s">
        <v>22</v>
      </c>
      <c r="H569" s="254">
        <v>2591.6</v>
      </c>
      <c r="I569" s="254">
        <v>2576.1999999999998</v>
      </c>
      <c r="J569" s="254">
        <v>3134.7864019999997</v>
      </c>
      <c r="K569" s="254">
        <v>3116.1586389999998</v>
      </c>
      <c r="L569" s="254">
        <v>18.627762999999959</v>
      </c>
      <c r="M569" s="254">
        <v>0.59777967549103206</v>
      </c>
    </row>
    <row r="570" spans="1:13" ht="25.05" customHeight="1" x14ac:dyDescent="0.3">
      <c r="A570" s="253" t="s">
        <v>806</v>
      </c>
      <c r="B570" s="252" t="s">
        <v>165</v>
      </c>
      <c r="C570" s="252">
        <v>0</v>
      </c>
      <c r="D570" s="252">
        <v>0</v>
      </c>
      <c r="E570" s="252" t="s">
        <v>20</v>
      </c>
      <c r="F570" s="253" t="s">
        <v>316</v>
      </c>
      <c r="G570" s="253" t="s">
        <v>22</v>
      </c>
      <c r="H570" s="254">
        <v>94.599999999999909</v>
      </c>
      <c r="I570" s="254">
        <v>116.5</v>
      </c>
      <c r="J570" s="254">
        <v>114.42768699999989</v>
      </c>
      <c r="K570" s="254">
        <v>140.91781749999998</v>
      </c>
      <c r="L570" s="254">
        <v>-26.490130500000092</v>
      </c>
      <c r="M570" s="254">
        <v>-18.798283261802641</v>
      </c>
    </row>
    <row r="571" spans="1:13" ht="25.05" customHeight="1" x14ac:dyDescent="0.3">
      <c r="A571" s="267" t="s">
        <v>806</v>
      </c>
      <c r="B571" s="268" t="s">
        <v>38</v>
      </c>
      <c r="C571" s="268">
        <v>0</v>
      </c>
      <c r="D571" s="268">
        <v>0</v>
      </c>
      <c r="E571" s="268" t="s">
        <v>20</v>
      </c>
      <c r="F571" s="267" t="s">
        <v>316</v>
      </c>
      <c r="G571" s="267" t="s">
        <v>22</v>
      </c>
      <c r="H571" s="269">
        <v>2686.2</v>
      </c>
      <c r="I571" s="269">
        <v>2693</v>
      </c>
      <c r="J571" s="269">
        <v>3249.2140889999996</v>
      </c>
      <c r="K571" s="269">
        <v>3257.439335</v>
      </c>
      <c r="L571" s="269">
        <v>-8.2252460000004248</v>
      </c>
      <c r="M571" s="269">
        <v>-0.25250649832901417</v>
      </c>
    </row>
    <row r="572" spans="1:13" ht="25.05" customHeight="1" x14ac:dyDescent="0.3">
      <c r="A572" s="253" t="s">
        <v>831</v>
      </c>
      <c r="B572" s="252" t="s">
        <v>1755</v>
      </c>
      <c r="C572" s="252" t="s">
        <v>1756</v>
      </c>
      <c r="D572" s="252" t="s">
        <v>62</v>
      </c>
      <c r="E572" s="252" t="s">
        <v>46</v>
      </c>
      <c r="F572" s="253" t="s">
        <v>21</v>
      </c>
      <c r="G572" s="253" t="s">
        <v>22</v>
      </c>
      <c r="H572" s="254">
        <v>1741.758</v>
      </c>
      <c r="I572" s="254">
        <v>1642.5250000000001</v>
      </c>
      <c r="J572" s="254">
        <v>1741.758</v>
      </c>
      <c r="K572" s="254">
        <v>1642.5250000000001</v>
      </c>
      <c r="L572" s="254">
        <v>99.232999999999947</v>
      </c>
      <c r="M572" s="254">
        <v>6.0414909970928869</v>
      </c>
    </row>
    <row r="573" spans="1:13" ht="25.05" customHeight="1" x14ac:dyDescent="0.3">
      <c r="A573" s="253" t="s">
        <v>831</v>
      </c>
      <c r="B573" s="252" t="s">
        <v>832</v>
      </c>
      <c r="C573" s="252" t="s">
        <v>833</v>
      </c>
      <c r="D573" s="252" t="s">
        <v>62</v>
      </c>
      <c r="E573" s="252" t="s">
        <v>46</v>
      </c>
      <c r="F573" s="253" t="s">
        <v>21</v>
      </c>
      <c r="G573" s="253" t="s">
        <v>22</v>
      </c>
      <c r="H573" s="254">
        <v>15.263999999999999</v>
      </c>
      <c r="I573" s="254">
        <v>0</v>
      </c>
      <c r="J573" s="254">
        <v>15.263999999999999</v>
      </c>
      <c r="K573" s="254">
        <v>0</v>
      </c>
      <c r="L573" s="254">
        <v>15.263999999999999</v>
      </c>
      <c r="M573" s="254" t="s">
        <v>67</v>
      </c>
    </row>
    <row r="574" spans="1:13" ht="25.05" customHeight="1" x14ac:dyDescent="0.3">
      <c r="A574" s="253" t="s">
        <v>831</v>
      </c>
      <c r="B574" s="252" t="s">
        <v>834</v>
      </c>
      <c r="C574" s="252">
        <v>0</v>
      </c>
      <c r="D574" s="252" t="s">
        <v>62</v>
      </c>
      <c r="E574" s="252" t="s">
        <v>20</v>
      </c>
      <c r="F574" s="253" t="s">
        <v>21</v>
      </c>
      <c r="G574" s="253" t="s">
        <v>22</v>
      </c>
      <c r="H574" s="254">
        <v>1757.0219999999999</v>
      </c>
      <c r="I574" s="254">
        <v>1642.5250000000001</v>
      </c>
      <c r="J574" s="254">
        <v>1757.0219999999999</v>
      </c>
      <c r="K574" s="254">
        <v>1642.5250000000001</v>
      </c>
      <c r="L574" s="254">
        <v>114.49699999999984</v>
      </c>
      <c r="M574" s="254">
        <v>6.9707919209753184</v>
      </c>
    </row>
    <row r="575" spans="1:13" ht="25.05" customHeight="1" x14ac:dyDescent="0.3">
      <c r="A575" s="253" t="s">
        <v>831</v>
      </c>
      <c r="B575" s="252" t="s">
        <v>835</v>
      </c>
      <c r="C575" s="252" t="s">
        <v>836</v>
      </c>
      <c r="D575" s="252" t="s">
        <v>62</v>
      </c>
      <c r="E575" s="252" t="s">
        <v>46</v>
      </c>
      <c r="F575" s="253" t="s">
        <v>21</v>
      </c>
      <c r="G575" s="253" t="s">
        <v>22</v>
      </c>
      <c r="H575" s="254">
        <v>28.332999999999998</v>
      </c>
      <c r="I575" s="254">
        <v>3.714</v>
      </c>
      <c r="J575" s="254">
        <v>28.332999999999998</v>
      </c>
      <c r="K575" s="254">
        <v>3.714</v>
      </c>
      <c r="L575" s="254">
        <v>24.619</v>
      </c>
      <c r="M575" s="254">
        <v>662.8702207862143</v>
      </c>
    </row>
    <row r="576" spans="1:13" ht="25.05" customHeight="1" x14ac:dyDescent="0.3">
      <c r="A576" s="253" t="s">
        <v>831</v>
      </c>
      <c r="B576" s="252" t="s">
        <v>633</v>
      </c>
      <c r="C576" s="252">
        <v>0</v>
      </c>
      <c r="D576" s="252" t="s">
        <v>62</v>
      </c>
      <c r="E576" s="252" t="s">
        <v>20</v>
      </c>
      <c r="F576" s="253" t="s">
        <v>21</v>
      </c>
      <c r="G576" s="253" t="s">
        <v>22</v>
      </c>
      <c r="H576" s="254">
        <v>1785.355</v>
      </c>
      <c r="I576" s="254">
        <v>1646.239</v>
      </c>
      <c r="J576" s="254">
        <v>1785.355</v>
      </c>
      <c r="K576" s="254">
        <v>1646.239</v>
      </c>
      <c r="L576" s="254">
        <v>139.11599999999999</v>
      </c>
      <c r="M576" s="254">
        <v>8.4505348251377832</v>
      </c>
    </row>
    <row r="577" spans="1:13" ht="25.05" customHeight="1" x14ac:dyDescent="0.3">
      <c r="A577" s="253" t="s">
        <v>831</v>
      </c>
      <c r="B577" s="252" t="s">
        <v>837</v>
      </c>
      <c r="C577" s="252" t="s">
        <v>838</v>
      </c>
      <c r="D577" s="252" t="s">
        <v>92</v>
      </c>
      <c r="E577" s="252" t="s">
        <v>46</v>
      </c>
      <c r="F577" s="253" t="s">
        <v>21</v>
      </c>
      <c r="G577" s="253" t="s">
        <v>22</v>
      </c>
      <c r="H577" s="254">
        <v>195.84200000000001</v>
      </c>
      <c r="I577" s="254">
        <v>172.93799999999999</v>
      </c>
      <c r="J577" s="254">
        <v>195.84200000000001</v>
      </c>
      <c r="K577" s="254">
        <v>172.93799999999999</v>
      </c>
      <c r="L577" s="254">
        <v>22.904000000000025</v>
      </c>
      <c r="M577" s="254">
        <v>13.244052781921861</v>
      </c>
    </row>
    <row r="578" spans="1:13" ht="25.05" customHeight="1" x14ac:dyDescent="0.3">
      <c r="A578" s="253" t="s">
        <v>831</v>
      </c>
      <c r="B578" s="252" t="s">
        <v>839</v>
      </c>
      <c r="C578" s="252" t="s">
        <v>840</v>
      </c>
      <c r="D578" s="252" t="s">
        <v>49</v>
      </c>
      <c r="E578" s="252" t="s">
        <v>40</v>
      </c>
      <c r="F578" s="253" t="s">
        <v>21</v>
      </c>
      <c r="G578" s="253" t="s">
        <v>22</v>
      </c>
      <c r="H578" s="254">
        <v>147.136</v>
      </c>
      <c r="I578" s="254">
        <v>177.465</v>
      </c>
      <c r="J578" s="254">
        <v>147.136</v>
      </c>
      <c r="K578" s="254">
        <v>177.465</v>
      </c>
      <c r="L578" s="254">
        <v>-30.329000000000008</v>
      </c>
      <c r="M578" s="254">
        <v>-17.090130448257408</v>
      </c>
    </row>
    <row r="579" spans="1:13" ht="25.05" customHeight="1" x14ac:dyDescent="0.3">
      <c r="A579" s="253" t="s">
        <v>831</v>
      </c>
      <c r="B579" s="252" t="s">
        <v>841</v>
      </c>
      <c r="C579" s="252" t="s">
        <v>842</v>
      </c>
      <c r="D579" s="252" t="s">
        <v>49</v>
      </c>
      <c r="E579" s="252" t="s">
        <v>46</v>
      </c>
      <c r="F579" s="253" t="s">
        <v>21</v>
      </c>
      <c r="G579" s="253" t="s">
        <v>22</v>
      </c>
      <c r="H579" s="254">
        <v>121.105</v>
      </c>
      <c r="I579" s="254">
        <v>121.407</v>
      </c>
      <c r="J579" s="254">
        <v>121.105</v>
      </c>
      <c r="K579" s="254">
        <v>121.407</v>
      </c>
      <c r="L579" s="254">
        <v>-0.3019999999999925</v>
      </c>
      <c r="M579" s="254">
        <v>-0.2487500720716207</v>
      </c>
    </row>
    <row r="580" spans="1:13" ht="25.05" customHeight="1" x14ac:dyDescent="0.3">
      <c r="A580" s="253" t="s">
        <v>831</v>
      </c>
      <c r="B580" s="252" t="s">
        <v>843</v>
      </c>
      <c r="C580" s="252" t="s">
        <v>844</v>
      </c>
      <c r="D580" s="252" t="s">
        <v>49</v>
      </c>
      <c r="E580" s="252" t="s">
        <v>46</v>
      </c>
      <c r="F580" s="253" t="s">
        <v>21</v>
      </c>
      <c r="G580" s="253" t="s">
        <v>22</v>
      </c>
      <c r="H580" s="254">
        <v>90.38</v>
      </c>
      <c r="I580" s="254">
        <v>0</v>
      </c>
      <c r="J580" s="254">
        <v>90.38</v>
      </c>
      <c r="K580" s="254">
        <v>0</v>
      </c>
      <c r="L580" s="254">
        <v>90.38</v>
      </c>
      <c r="M580" s="254" t="s">
        <v>67</v>
      </c>
    </row>
    <row r="581" spans="1:13" ht="25.05" customHeight="1" x14ac:dyDescent="0.3">
      <c r="A581" s="253" t="s">
        <v>831</v>
      </c>
      <c r="B581" s="252" t="s">
        <v>198</v>
      </c>
      <c r="C581" s="252">
        <v>0</v>
      </c>
      <c r="D581" s="252" t="s">
        <v>49</v>
      </c>
      <c r="E581" s="252" t="s">
        <v>20</v>
      </c>
      <c r="F581" s="253" t="s">
        <v>21</v>
      </c>
      <c r="G581" s="253" t="s">
        <v>22</v>
      </c>
      <c r="H581" s="254">
        <v>554.46299999999997</v>
      </c>
      <c r="I581" s="254">
        <v>471.81</v>
      </c>
      <c r="J581" s="254">
        <v>554.46299999999997</v>
      </c>
      <c r="K581" s="254">
        <v>471.81</v>
      </c>
      <c r="L581" s="254">
        <v>82.652999999999963</v>
      </c>
      <c r="M581" s="254">
        <v>17.518280663826534</v>
      </c>
    </row>
    <row r="582" spans="1:13" ht="25.05" customHeight="1" x14ac:dyDescent="0.3">
      <c r="A582" s="253" t="s">
        <v>831</v>
      </c>
      <c r="B582" s="252" t="s">
        <v>177</v>
      </c>
      <c r="C582" s="252">
        <v>0</v>
      </c>
      <c r="D582" s="252">
        <v>0</v>
      </c>
      <c r="E582" s="252" t="s">
        <v>20</v>
      </c>
      <c r="F582" s="253" t="s">
        <v>21</v>
      </c>
      <c r="G582" s="253" t="s">
        <v>22</v>
      </c>
      <c r="H582" s="254">
        <v>6.8419999999999996</v>
      </c>
      <c r="I582" s="254">
        <v>17.552</v>
      </c>
      <c r="J582" s="254">
        <v>6.8419999999999996</v>
      </c>
      <c r="K582" s="254">
        <v>17.552</v>
      </c>
      <c r="L582" s="254">
        <v>-10.71</v>
      </c>
      <c r="M582" s="254">
        <v>-61.018687329079313</v>
      </c>
    </row>
    <row r="583" spans="1:13" ht="25.05" customHeight="1" x14ac:dyDescent="0.3">
      <c r="A583" s="253" t="s">
        <v>831</v>
      </c>
      <c r="B583" s="252" t="s">
        <v>845</v>
      </c>
      <c r="C583" s="252">
        <v>0</v>
      </c>
      <c r="D583" s="252">
        <v>0</v>
      </c>
      <c r="E583" s="252" t="s">
        <v>20</v>
      </c>
      <c r="F583" s="253" t="s">
        <v>21</v>
      </c>
      <c r="G583" s="253" t="s">
        <v>22</v>
      </c>
      <c r="H583" s="254">
        <v>2346.66</v>
      </c>
      <c r="I583" s="254">
        <v>2135.6010000000001</v>
      </c>
      <c r="J583" s="254">
        <v>2346.66</v>
      </c>
      <c r="K583" s="254">
        <v>2135.6010000000001</v>
      </c>
      <c r="L583" s="254">
        <v>211.05899999999974</v>
      </c>
      <c r="M583" s="254">
        <v>9.8828854266316473</v>
      </c>
    </row>
    <row r="584" spans="1:13" ht="25.05" customHeight="1" x14ac:dyDescent="0.3">
      <c r="A584" s="253" t="s">
        <v>831</v>
      </c>
      <c r="B584" s="252" t="s">
        <v>846</v>
      </c>
      <c r="C584" s="252">
        <v>0</v>
      </c>
      <c r="D584" s="252">
        <v>0</v>
      </c>
      <c r="E584" s="252" t="s">
        <v>20</v>
      </c>
      <c r="F584" s="253" t="s">
        <v>21</v>
      </c>
      <c r="G584" s="253" t="s">
        <v>22</v>
      </c>
      <c r="H584" s="254">
        <v>16.907</v>
      </c>
      <c r="I584" s="254">
        <v>26.16</v>
      </c>
      <c r="J584" s="254">
        <v>16.907</v>
      </c>
      <c r="K584" s="254">
        <v>26.16</v>
      </c>
      <c r="L584" s="254">
        <v>-9.2530000000000001</v>
      </c>
      <c r="M584" s="254">
        <v>-35.370795107033636</v>
      </c>
    </row>
    <row r="585" spans="1:13" ht="25.05" customHeight="1" x14ac:dyDescent="0.3">
      <c r="A585" s="267" t="s">
        <v>831</v>
      </c>
      <c r="B585" s="268" t="s">
        <v>101</v>
      </c>
      <c r="C585" s="268">
        <v>0</v>
      </c>
      <c r="D585" s="268">
        <v>0</v>
      </c>
      <c r="E585" s="268" t="s">
        <v>20</v>
      </c>
      <c r="F585" s="267" t="s">
        <v>21</v>
      </c>
      <c r="G585" s="267" t="s">
        <v>22</v>
      </c>
      <c r="H585" s="269">
        <v>2363.567</v>
      </c>
      <c r="I585" s="269">
        <v>2161.761</v>
      </c>
      <c r="J585" s="269">
        <v>2363.567</v>
      </c>
      <c r="K585" s="269">
        <v>2161.761</v>
      </c>
      <c r="L585" s="269">
        <v>201.80600000000004</v>
      </c>
      <c r="M585" s="269">
        <v>9.335259540717038</v>
      </c>
    </row>
    <row r="586" spans="1:13" ht="25.05" customHeight="1" x14ac:dyDescent="0.3">
      <c r="A586" s="253" t="s">
        <v>847</v>
      </c>
      <c r="B586" s="252" t="s">
        <v>1006</v>
      </c>
      <c r="C586" s="252" t="s">
        <v>1007</v>
      </c>
      <c r="D586" s="252" t="s">
        <v>43</v>
      </c>
      <c r="E586" s="252" t="s">
        <v>40</v>
      </c>
      <c r="F586" s="253" t="s">
        <v>21</v>
      </c>
      <c r="G586" s="253" t="s">
        <v>22</v>
      </c>
      <c r="H586" s="254">
        <v>3747</v>
      </c>
      <c r="I586" s="254">
        <v>4380</v>
      </c>
      <c r="J586" s="254">
        <v>3747</v>
      </c>
      <c r="K586" s="254">
        <v>4380</v>
      </c>
      <c r="L586" s="254">
        <v>-633</v>
      </c>
      <c r="M586" s="254">
        <v>-14.452054794520548</v>
      </c>
    </row>
    <row r="587" spans="1:13" ht="25.05" customHeight="1" x14ac:dyDescent="0.3">
      <c r="A587" s="253" t="s">
        <v>847</v>
      </c>
      <c r="B587" s="252" t="s">
        <v>848</v>
      </c>
      <c r="C587" s="252" t="s">
        <v>849</v>
      </c>
      <c r="D587" s="252" t="s">
        <v>43</v>
      </c>
      <c r="E587" s="252" t="s">
        <v>40</v>
      </c>
      <c r="F587" s="253" t="s">
        <v>21</v>
      </c>
      <c r="G587" s="253" t="s">
        <v>22</v>
      </c>
      <c r="H587" s="254">
        <v>2243</v>
      </c>
      <c r="I587" s="254">
        <v>2188</v>
      </c>
      <c r="J587" s="254">
        <v>2243</v>
      </c>
      <c r="K587" s="254">
        <v>2188</v>
      </c>
      <c r="L587" s="254">
        <v>55</v>
      </c>
      <c r="M587" s="254">
        <v>2.5137111517367456</v>
      </c>
    </row>
    <row r="588" spans="1:13" ht="25.05" customHeight="1" x14ac:dyDescent="0.3">
      <c r="A588" s="253" t="s">
        <v>847</v>
      </c>
      <c r="B588" s="252" t="s">
        <v>850</v>
      </c>
      <c r="C588" s="252" t="s">
        <v>851</v>
      </c>
      <c r="D588" s="252" t="s">
        <v>43</v>
      </c>
      <c r="E588" s="252" t="s">
        <v>40</v>
      </c>
      <c r="F588" s="253" t="s">
        <v>21</v>
      </c>
      <c r="G588" s="253" t="s">
        <v>22</v>
      </c>
      <c r="H588" s="254">
        <v>7707</v>
      </c>
      <c r="I588" s="254">
        <v>6361</v>
      </c>
      <c r="J588" s="254">
        <v>7707</v>
      </c>
      <c r="K588" s="254">
        <v>6361</v>
      </c>
      <c r="L588" s="254">
        <v>1346</v>
      </c>
      <c r="M588" s="254">
        <v>21.160194937902848</v>
      </c>
    </row>
    <row r="589" spans="1:13" ht="25.05" customHeight="1" x14ac:dyDescent="0.3">
      <c r="A589" s="253" t="s">
        <v>847</v>
      </c>
      <c r="B589" s="252" t="s">
        <v>852</v>
      </c>
      <c r="C589" s="252" t="s">
        <v>853</v>
      </c>
      <c r="D589" s="252" t="s">
        <v>43</v>
      </c>
      <c r="E589" s="252" t="s">
        <v>40</v>
      </c>
      <c r="F589" s="253" t="s">
        <v>21</v>
      </c>
      <c r="G589" s="253" t="s">
        <v>22</v>
      </c>
      <c r="H589" s="254">
        <v>1347</v>
      </c>
      <c r="I589" s="254">
        <v>1012</v>
      </c>
      <c r="J589" s="254">
        <v>1347</v>
      </c>
      <c r="K589" s="254">
        <v>1012</v>
      </c>
      <c r="L589" s="254">
        <v>335</v>
      </c>
      <c r="M589" s="254">
        <v>33.102766798418969</v>
      </c>
    </row>
    <row r="590" spans="1:13" ht="25.05" customHeight="1" x14ac:dyDescent="0.3">
      <c r="A590" s="253" t="s">
        <v>847</v>
      </c>
      <c r="B590" s="252" t="s">
        <v>625</v>
      </c>
      <c r="C590" s="252">
        <v>0</v>
      </c>
      <c r="D590" s="252" t="s">
        <v>43</v>
      </c>
      <c r="E590" s="252" t="s">
        <v>20</v>
      </c>
      <c r="F590" s="253" t="s">
        <v>21</v>
      </c>
      <c r="G590" s="253" t="s">
        <v>22</v>
      </c>
      <c r="H590" s="254">
        <v>11</v>
      </c>
      <c r="I590" s="254">
        <v>10</v>
      </c>
      <c r="J590" s="254">
        <v>11</v>
      </c>
      <c r="K590" s="254">
        <v>10</v>
      </c>
      <c r="L590" s="254">
        <v>1</v>
      </c>
      <c r="M590" s="254">
        <v>10</v>
      </c>
    </row>
    <row r="591" spans="1:13" ht="25.05" customHeight="1" x14ac:dyDescent="0.3">
      <c r="A591" s="253" t="s">
        <v>847</v>
      </c>
      <c r="B591" s="252" t="s">
        <v>626</v>
      </c>
      <c r="C591" s="252">
        <v>0</v>
      </c>
      <c r="D591" s="252" t="s">
        <v>43</v>
      </c>
      <c r="E591" s="252" t="s">
        <v>20</v>
      </c>
      <c r="F591" s="253" t="s">
        <v>21</v>
      </c>
      <c r="G591" s="253" t="s">
        <v>22</v>
      </c>
      <c r="H591" s="254">
        <v>15055</v>
      </c>
      <c r="I591" s="254">
        <v>13950</v>
      </c>
      <c r="J591" s="254">
        <v>15055</v>
      </c>
      <c r="K591" s="254">
        <v>13950</v>
      </c>
      <c r="L591" s="254">
        <v>1105</v>
      </c>
      <c r="M591" s="254">
        <v>7.9211469534050183</v>
      </c>
    </row>
    <row r="592" spans="1:13" ht="25.05" customHeight="1" x14ac:dyDescent="0.3">
      <c r="A592" s="253" t="s">
        <v>847</v>
      </c>
      <c r="B592" s="252" t="s">
        <v>854</v>
      </c>
      <c r="C592" s="252" t="s">
        <v>855</v>
      </c>
      <c r="D592" s="252" t="s">
        <v>89</v>
      </c>
      <c r="E592" s="252" t="s">
        <v>46</v>
      </c>
      <c r="F592" s="253" t="s">
        <v>21</v>
      </c>
      <c r="G592" s="253" t="s">
        <v>22</v>
      </c>
      <c r="H592" s="254">
        <v>964</v>
      </c>
      <c r="I592" s="254">
        <v>861</v>
      </c>
      <c r="J592" s="254">
        <v>964</v>
      </c>
      <c r="K592" s="254">
        <v>861</v>
      </c>
      <c r="L592" s="254">
        <v>103</v>
      </c>
      <c r="M592" s="254">
        <v>11.962833914053427</v>
      </c>
    </row>
    <row r="593" spans="1:13" ht="25.05" customHeight="1" x14ac:dyDescent="0.3">
      <c r="A593" s="253" t="s">
        <v>847</v>
      </c>
      <c r="B593" s="252" t="s">
        <v>856</v>
      </c>
      <c r="C593" s="252" t="s">
        <v>857</v>
      </c>
      <c r="D593" s="252" t="s">
        <v>89</v>
      </c>
      <c r="E593" s="252" t="s">
        <v>46</v>
      </c>
      <c r="F593" s="253" t="s">
        <v>21</v>
      </c>
      <c r="G593" s="253" t="s">
        <v>22</v>
      </c>
      <c r="H593" s="254">
        <v>2184</v>
      </c>
      <c r="I593" s="254">
        <v>2110</v>
      </c>
      <c r="J593" s="254">
        <v>2184</v>
      </c>
      <c r="K593" s="254">
        <v>2110</v>
      </c>
      <c r="L593" s="254">
        <v>74</v>
      </c>
      <c r="M593" s="254">
        <v>3.5071090047393367</v>
      </c>
    </row>
    <row r="594" spans="1:13" ht="25.05" customHeight="1" x14ac:dyDescent="0.3">
      <c r="A594" s="253" t="s">
        <v>847</v>
      </c>
      <c r="B594" s="252" t="s">
        <v>858</v>
      </c>
      <c r="C594" s="252">
        <v>0</v>
      </c>
      <c r="D594" s="252" t="s">
        <v>89</v>
      </c>
      <c r="E594" s="252" t="s">
        <v>20</v>
      </c>
      <c r="F594" s="253" t="s">
        <v>21</v>
      </c>
      <c r="G594" s="253" t="s">
        <v>22</v>
      </c>
      <c r="H594" s="254">
        <v>427</v>
      </c>
      <c r="I594" s="254">
        <v>441</v>
      </c>
      <c r="J594" s="254">
        <v>427</v>
      </c>
      <c r="K594" s="254">
        <v>441</v>
      </c>
      <c r="L594" s="254">
        <v>-14</v>
      </c>
      <c r="M594" s="254">
        <v>-3.1746031746031744</v>
      </c>
    </row>
    <row r="595" spans="1:13" ht="25.05" customHeight="1" x14ac:dyDescent="0.3">
      <c r="A595" s="253" t="s">
        <v>847</v>
      </c>
      <c r="B595" s="252" t="s">
        <v>859</v>
      </c>
      <c r="C595" s="252">
        <v>0</v>
      </c>
      <c r="D595" s="252" t="s">
        <v>89</v>
      </c>
      <c r="E595" s="252" t="s">
        <v>20</v>
      </c>
      <c r="F595" s="253" t="s">
        <v>21</v>
      </c>
      <c r="G595" s="253" t="s">
        <v>22</v>
      </c>
      <c r="H595" s="254">
        <v>3574</v>
      </c>
      <c r="I595" s="254">
        <v>3413</v>
      </c>
      <c r="J595" s="254">
        <v>3574</v>
      </c>
      <c r="K595" s="254">
        <v>3413</v>
      </c>
      <c r="L595" s="254">
        <v>161</v>
      </c>
      <c r="M595" s="254">
        <v>4.7172575446820977</v>
      </c>
    </row>
    <row r="596" spans="1:13" ht="25.05" customHeight="1" x14ac:dyDescent="0.3">
      <c r="A596" s="253" t="s">
        <v>847</v>
      </c>
      <c r="B596" s="252" t="s">
        <v>860</v>
      </c>
      <c r="C596" s="252" t="s">
        <v>861</v>
      </c>
      <c r="D596" s="252" t="s">
        <v>62</v>
      </c>
      <c r="E596" s="252" t="s">
        <v>46</v>
      </c>
      <c r="F596" s="253" t="s">
        <v>21</v>
      </c>
      <c r="G596" s="253" t="s">
        <v>22</v>
      </c>
      <c r="H596" s="254">
        <v>622</v>
      </c>
      <c r="I596" s="254">
        <v>696</v>
      </c>
      <c r="J596" s="254">
        <v>622</v>
      </c>
      <c r="K596" s="254">
        <v>696</v>
      </c>
      <c r="L596" s="254">
        <v>-74</v>
      </c>
      <c r="M596" s="254">
        <v>-10.632183908045976</v>
      </c>
    </row>
    <row r="597" spans="1:13" ht="25.05" customHeight="1" x14ac:dyDescent="0.3">
      <c r="A597" s="253" t="s">
        <v>847</v>
      </c>
      <c r="B597" s="252" t="s">
        <v>862</v>
      </c>
      <c r="C597" s="252" t="s">
        <v>863</v>
      </c>
      <c r="D597" s="252" t="s">
        <v>62</v>
      </c>
      <c r="E597" s="252" t="s">
        <v>46</v>
      </c>
      <c r="F597" s="253" t="s">
        <v>21</v>
      </c>
      <c r="G597" s="253" t="s">
        <v>22</v>
      </c>
      <c r="H597" s="254">
        <v>3653</v>
      </c>
      <c r="I597" s="254">
        <v>3330</v>
      </c>
      <c r="J597" s="254">
        <v>3653</v>
      </c>
      <c r="K597" s="254">
        <v>3330</v>
      </c>
      <c r="L597" s="254">
        <v>323</v>
      </c>
      <c r="M597" s="254">
        <v>9.6996996996996998</v>
      </c>
    </row>
    <row r="598" spans="1:13" ht="25.05" customHeight="1" x14ac:dyDescent="0.3">
      <c r="A598" s="253" t="s">
        <v>847</v>
      </c>
      <c r="B598" s="252" t="s">
        <v>864</v>
      </c>
      <c r="C598" s="252" t="s">
        <v>865</v>
      </c>
      <c r="D598" s="252" t="s">
        <v>62</v>
      </c>
      <c r="E598" s="252" t="s">
        <v>46</v>
      </c>
      <c r="F598" s="253" t="s">
        <v>21</v>
      </c>
      <c r="G598" s="253" t="s">
        <v>22</v>
      </c>
      <c r="H598" s="254">
        <v>642</v>
      </c>
      <c r="I598" s="254">
        <v>688</v>
      </c>
      <c r="J598" s="254">
        <v>642</v>
      </c>
      <c r="K598" s="254">
        <v>688</v>
      </c>
      <c r="L598" s="254">
        <v>-46</v>
      </c>
      <c r="M598" s="254">
        <v>-6.6860465116279064</v>
      </c>
    </row>
    <row r="599" spans="1:13" ht="25.05" customHeight="1" x14ac:dyDescent="0.3">
      <c r="A599" s="253" t="s">
        <v>847</v>
      </c>
      <c r="B599" s="252" t="s">
        <v>68</v>
      </c>
      <c r="C599" s="252">
        <v>0</v>
      </c>
      <c r="D599" s="252" t="s">
        <v>62</v>
      </c>
      <c r="E599" s="252" t="s">
        <v>20</v>
      </c>
      <c r="F599" s="253" t="s">
        <v>21</v>
      </c>
      <c r="G599" s="253" t="s">
        <v>22</v>
      </c>
      <c r="H599" s="254">
        <v>1632</v>
      </c>
      <c r="I599" s="254">
        <v>1614</v>
      </c>
      <c r="J599" s="254">
        <v>1632</v>
      </c>
      <c r="K599" s="254">
        <v>1614</v>
      </c>
      <c r="L599" s="254">
        <v>18</v>
      </c>
      <c r="M599" s="254">
        <v>1.1152416356877324</v>
      </c>
    </row>
    <row r="600" spans="1:13" ht="25.05" customHeight="1" x14ac:dyDescent="0.3">
      <c r="A600" s="253" t="s">
        <v>847</v>
      </c>
      <c r="B600" s="252" t="s">
        <v>633</v>
      </c>
      <c r="C600" s="252">
        <v>0</v>
      </c>
      <c r="D600" s="252" t="s">
        <v>62</v>
      </c>
      <c r="E600" s="252" t="s">
        <v>20</v>
      </c>
      <c r="F600" s="253" t="s">
        <v>21</v>
      </c>
      <c r="G600" s="253" t="s">
        <v>22</v>
      </c>
      <c r="H600" s="254">
        <v>6548</v>
      </c>
      <c r="I600" s="254">
        <v>6328</v>
      </c>
      <c r="J600" s="254">
        <v>6548</v>
      </c>
      <c r="K600" s="254">
        <v>6328</v>
      </c>
      <c r="L600" s="254">
        <v>220</v>
      </c>
      <c r="M600" s="254">
        <v>3.4766118836915298</v>
      </c>
    </row>
    <row r="601" spans="1:13" ht="25.05" customHeight="1" x14ac:dyDescent="0.3">
      <c r="A601" s="253" t="s">
        <v>847</v>
      </c>
      <c r="B601" s="252" t="s">
        <v>866</v>
      </c>
      <c r="C601" s="252" t="s">
        <v>867</v>
      </c>
      <c r="D601" s="252" t="s">
        <v>49</v>
      </c>
      <c r="E601" s="252" t="s">
        <v>40</v>
      </c>
      <c r="F601" s="253" t="s">
        <v>21</v>
      </c>
      <c r="G601" s="253" t="s">
        <v>22</v>
      </c>
      <c r="H601" s="254">
        <v>4190</v>
      </c>
      <c r="I601" s="254">
        <v>2998</v>
      </c>
      <c r="J601" s="254">
        <v>4190</v>
      </c>
      <c r="K601" s="254">
        <v>2998</v>
      </c>
      <c r="L601" s="254">
        <v>1192</v>
      </c>
      <c r="M601" s="254">
        <v>39.759839893262175</v>
      </c>
    </row>
    <row r="602" spans="1:13" ht="25.05" customHeight="1" x14ac:dyDescent="0.3">
      <c r="A602" s="253" t="s">
        <v>847</v>
      </c>
      <c r="B602" s="252" t="s">
        <v>868</v>
      </c>
      <c r="C602" s="252" t="s">
        <v>869</v>
      </c>
      <c r="D602" s="252" t="s">
        <v>49</v>
      </c>
      <c r="E602" s="252" t="s">
        <v>46</v>
      </c>
      <c r="F602" s="253" t="s">
        <v>21</v>
      </c>
      <c r="G602" s="253" t="s">
        <v>22</v>
      </c>
      <c r="H602" s="254">
        <v>760</v>
      </c>
      <c r="I602" s="254">
        <v>332</v>
      </c>
      <c r="J602" s="254">
        <v>760</v>
      </c>
      <c r="K602" s="254">
        <v>332</v>
      </c>
      <c r="L602" s="254">
        <v>428</v>
      </c>
      <c r="M602" s="254">
        <v>128.91566265060243</v>
      </c>
    </row>
    <row r="603" spans="1:13" ht="25.05" customHeight="1" x14ac:dyDescent="0.3">
      <c r="A603" s="253" t="s">
        <v>847</v>
      </c>
      <c r="B603" s="252" t="s">
        <v>47</v>
      </c>
      <c r="C603" s="252" t="s">
        <v>48</v>
      </c>
      <c r="D603" s="252" t="s">
        <v>49</v>
      </c>
      <c r="E603" s="252" t="s">
        <v>46</v>
      </c>
      <c r="F603" s="253" t="s">
        <v>21</v>
      </c>
      <c r="G603" s="253" t="s">
        <v>22</v>
      </c>
      <c r="H603" s="254">
        <v>4128</v>
      </c>
      <c r="I603" s="254">
        <v>3411</v>
      </c>
      <c r="J603" s="254">
        <v>4128</v>
      </c>
      <c r="K603" s="254">
        <v>3411</v>
      </c>
      <c r="L603" s="254">
        <v>717</v>
      </c>
      <c r="M603" s="254">
        <v>21.020228671943713</v>
      </c>
    </row>
    <row r="604" spans="1:13" ht="25.05" customHeight="1" x14ac:dyDescent="0.3">
      <c r="A604" s="253" t="s">
        <v>847</v>
      </c>
      <c r="B604" s="252" t="s">
        <v>870</v>
      </c>
      <c r="C604" s="252" t="s">
        <v>871</v>
      </c>
      <c r="D604" s="252" t="s">
        <v>49</v>
      </c>
      <c r="E604" s="252" t="s">
        <v>46</v>
      </c>
      <c r="F604" s="253" t="s">
        <v>21</v>
      </c>
      <c r="G604" s="253" t="s">
        <v>22</v>
      </c>
      <c r="H604" s="254">
        <v>408</v>
      </c>
      <c r="I604" s="254">
        <v>751</v>
      </c>
      <c r="J604" s="254">
        <v>408</v>
      </c>
      <c r="K604" s="254">
        <v>751</v>
      </c>
      <c r="L604" s="254">
        <v>-343</v>
      </c>
      <c r="M604" s="254">
        <v>-45.672436750998671</v>
      </c>
    </row>
    <row r="605" spans="1:13" ht="25.05" customHeight="1" x14ac:dyDescent="0.3">
      <c r="A605" s="253" t="s">
        <v>847</v>
      </c>
      <c r="B605" s="252" t="s">
        <v>872</v>
      </c>
      <c r="C605" s="252" t="s">
        <v>873</v>
      </c>
      <c r="D605" s="252" t="s">
        <v>49</v>
      </c>
      <c r="E605" s="252" t="s">
        <v>46</v>
      </c>
      <c r="F605" s="253" t="s">
        <v>21</v>
      </c>
      <c r="G605" s="253" t="s">
        <v>22</v>
      </c>
      <c r="H605" s="254">
        <v>2470</v>
      </c>
      <c r="I605" s="254">
        <v>2795</v>
      </c>
      <c r="J605" s="254">
        <v>2470</v>
      </c>
      <c r="K605" s="254">
        <v>2795</v>
      </c>
      <c r="L605" s="254">
        <v>-325</v>
      </c>
      <c r="M605" s="254">
        <v>-11.627906976744185</v>
      </c>
    </row>
    <row r="606" spans="1:13" ht="25.05" customHeight="1" x14ac:dyDescent="0.3">
      <c r="A606" s="253" t="s">
        <v>847</v>
      </c>
      <c r="B606" s="252" t="s">
        <v>620</v>
      </c>
      <c r="C606" s="252">
        <v>0</v>
      </c>
      <c r="D606" s="252" t="s">
        <v>49</v>
      </c>
      <c r="E606" s="252" t="s">
        <v>20</v>
      </c>
      <c r="F606" s="253" t="s">
        <v>21</v>
      </c>
      <c r="G606" s="253" t="s">
        <v>22</v>
      </c>
      <c r="H606" s="254">
        <v>413</v>
      </c>
      <c r="I606" s="254">
        <v>407</v>
      </c>
      <c r="J606" s="254">
        <v>413</v>
      </c>
      <c r="K606" s="254">
        <v>407</v>
      </c>
      <c r="L606" s="254">
        <v>6</v>
      </c>
      <c r="M606" s="254">
        <v>1.4742014742014742</v>
      </c>
    </row>
    <row r="607" spans="1:13" ht="25.05" customHeight="1" x14ac:dyDescent="0.3">
      <c r="A607" s="253" t="s">
        <v>847</v>
      </c>
      <c r="B607" s="252" t="s">
        <v>198</v>
      </c>
      <c r="C607" s="252">
        <v>0</v>
      </c>
      <c r="D607" s="252" t="s">
        <v>49</v>
      </c>
      <c r="E607" s="252" t="s">
        <v>20</v>
      </c>
      <c r="F607" s="253" t="s">
        <v>21</v>
      </c>
      <c r="G607" s="253" t="s">
        <v>22</v>
      </c>
      <c r="H607" s="254">
        <v>12367</v>
      </c>
      <c r="I607" s="254">
        <v>10692</v>
      </c>
      <c r="J607" s="254">
        <v>12367</v>
      </c>
      <c r="K607" s="254">
        <v>10692</v>
      </c>
      <c r="L607" s="254">
        <v>1675</v>
      </c>
      <c r="M607" s="254">
        <v>15.665918443696222</v>
      </c>
    </row>
    <row r="608" spans="1:13" ht="25.05" customHeight="1" x14ac:dyDescent="0.3">
      <c r="A608" s="253" t="s">
        <v>847</v>
      </c>
      <c r="B608" s="252" t="s">
        <v>874</v>
      </c>
      <c r="C608" s="252" t="s">
        <v>875</v>
      </c>
      <c r="D608" s="252" t="s">
        <v>129</v>
      </c>
      <c r="E608" s="252" t="s">
        <v>46</v>
      </c>
      <c r="F608" s="253" t="s">
        <v>21</v>
      </c>
      <c r="G608" s="253" t="s">
        <v>22</v>
      </c>
      <c r="H608" s="254">
        <v>1639</v>
      </c>
      <c r="I608" s="254">
        <v>1327</v>
      </c>
      <c r="J608" s="254">
        <v>1639</v>
      </c>
      <c r="K608" s="254">
        <v>1327</v>
      </c>
      <c r="L608" s="254">
        <v>312</v>
      </c>
      <c r="M608" s="254">
        <v>23.511680482290881</v>
      </c>
    </row>
    <row r="609" spans="1:13" ht="25.05" customHeight="1" x14ac:dyDescent="0.3">
      <c r="A609" s="253" t="s">
        <v>847</v>
      </c>
      <c r="B609" s="252" t="s">
        <v>876</v>
      </c>
      <c r="C609" s="252" t="s">
        <v>877</v>
      </c>
      <c r="D609" s="252" t="s">
        <v>129</v>
      </c>
      <c r="E609" s="252" t="s">
        <v>46</v>
      </c>
      <c r="F609" s="253" t="s">
        <v>21</v>
      </c>
      <c r="G609" s="253" t="s">
        <v>22</v>
      </c>
      <c r="H609" s="254">
        <v>1093</v>
      </c>
      <c r="I609" s="254">
        <v>819</v>
      </c>
      <c r="J609" s="254">
        <v>1093</v>
      </c>
      <c r="K609" s="254">
        <v>819</v>
      </c>
      <c r="L609" s="254">
        <v>274</v>
      </c>
      <c r="M609" s="254">
        <v>33.45543345543345</v>
      </c>
    </row>
    <row r="610" spans="1:13" ht="25.05" customHeight="1" x14ac:dyDescent="0.3">
      <c r="A610" s="253" t="s">
        <v>847</v>
      </c>
      <c r="B610" s="252" t="s">
        <v>639</v>
      </c>
      <c r="C610" s="252">
        <v>0</v>
      </c>
      <c r="D610" s="252" t="s">
        <v>129</v>
      </c>
      <c r="E610" s="252" t="s">
        <v>20</v>
      </c>
      <c r="F610" s="253" t="s">
        <v>21</v>
      </c>
      <c r="G610" s="253" t="s">
        <v>22</v>
      </c>
      <c r="H610" s="254">
        <v>416</v>
      </c>
      <c r="I610" s="254">
        <v>476</v>
      </c>
      <c r="J610" s="254">
        <v>416</v>
      </c>
      <c r="K610" s="254">
        <v>476</v>
      </c>
      <c r="L610" s="254">
        <v>-60</v>
      </c>
      <c r="M610" s="254">
        <v>-12.605042016806722</v>
      </c>
    </row>
    <row r="611" spans="1:13" ht="25.05" customHeight="1" x14ac:dyDescent="0.3">
      <c r="A611" s="253" t="s">
        <v>847</v>
      </c>
      <c r="B611" s="252" t="s">
        <v>878</v>
      </c>
      <c r="C611" s="252">
        <v>0</v>
      </c>
      <c r="D611" s="252" t="s">
        <v>129</v>
      </c>
      <c r="E611" s="252" t="s">
        <v>20</v>
      </c>
      <c r="F611" s="253" t="s">
        <v>21</v>
      </c>
      <c r="G611" s="253" t="s">
        <v>22</v>
      </c>
      <c r="H611" s="254">
        <v>3148</v>
      </c>
      <c r="I611" s="254">
        <v>2623</v>
      </c>
      <c r="J611" s="254">
        <v>3148</v>
      </c>
      <c r="K611" s="254">
        <v>2623</v>
      </c>
      <c r="L611" s="254">
        <v>525</v>
      </c>
      <c r="M611" s="254">
        <v>20.015249714067863</v>
      </c>
    </row>
    <row r="612" spans="1:13" ht="25.05" customHeight="1" x14ac:dyDescent="0.3">
      <c r="A612" s="253" t="s">
        <v>847</v>
      </c>
      <c r="B612" s="252" t="s">
        <v>879</v>
      </c>
      <c r="C612" s="252" t="s">
        <v>880</v>
      </c>
      <c r="D612" s="252" t="s">
        <v>129</v>
      </c>
      <c r="E612" s="252" t="s">
        <v>46</v>
      </c>
      <c r="F612" s="253" t="s">
        <v>21</v>
      </c>
      <c r="G612" s="253" t="s">
        <v>22</v>
      </c>
      <c r="H612" s="254">
        <v>2345</v>
      </c>
      <c r="I612" s="254">
        <v>2313</v>
      </c>
      <c r="J612" s="254">
        <v>2345</v>
      </c>
      <c r="K612" s="254">
        <v>2313</v>
      </c>
      <c r="L612" s="254">
        <v>32</v>
      </c>
      <c r="M612" s="254">
        <v>1.3834846519671422</v>
      </c>
    </row>
    <row r="613" spans="1:13" ht="25.05" customHeight="1" x14ac:dyDescent="0.3">
      <c r="A613" s="253" t="s">
        <v>847</v>
      </c>
      <c r="B613" s="252" t="s">
        <v>881</v>
      </c>
      <c r="C613" s="252" t="s">
        <v>882</v>
      </c>
      <c r="D613" s="252" t="s">
        <v>201</v>
      </c>
      <c r="E613" s="252" t="s">
        <v>46</v>
      </c>
      <c r="F613" s="253" t="s">
        <v>21</v>
      </c>
      <c r="G613" s="253" t="s">
        <v>22</v>
      </c>
      <c r="H613" s="254">
        <v>795</v>
      </c>
      <c r="I613" s="254">
        <v>735</v>
      </c>
      <c r="J613" s="254">
        <v>795</v>
      </c>
      <c r="K613" s="254">
        <v>735</v>
      </c>
      <c r="L613" s="254">
        <v>60</v>
      </c>
      <c r="M613" s="254">
        <v>8.1632653061224492</v>
      </c>
    </row>
    <row r="614" spans="1:13" ht="25.05" customHeight="1" x14ac:dyDescent="0.3">
      <c r="A614" s="253" t="s">
        <v>847</v>
      </c>
      <c r="B614" s="252" t="s">
        <v>883</v>
      </c>
      <c r="C614" s="252" t="s">
        <v>159</v>
      </c>
      <c r="D614" s="252" t="s">
        <v>113</v>
      </c>
      <c r="E614" s="252" t="s">
        <v>40</v>
      </c>
      <c r="F614" s="253" t="s">
        <v>21</v>
      </c>
      <c r="G614" s="253" t="s">
        <v>22</v>
      </c>
      <c r="H614" s="254">
        <v>552</v>
      </c>
      <c r="I614" s="254">
        <v>790</v>
      </c>
      <c r="J614" s="254">
        <v>552</v>
      </c>
      <c r="K614" s="254">
        <v>790</v>
      </c>
      <c r="L614" s="254">
        <v>-238</v>
      </c>
      <c r="M614" s="254">
        <v>-30.126582278481013</v>
      </c>
    </row>
    <row r="615" spans="1:13" ht="25.05" customHeight="1" x14ac:dyDescent="0.3">
      <c r="A615" s="253" t="s">
        <v>847</v>
      </c>
      <c r="B615" s="252" t="s">
        <v>639</v>
      </c>
      <c r="C615" s="252">
        <v>0</v>
      </c>
      <c r="D615" s="252">
        <v>0</v>
      </c>
      <c r="E615" s="252" t="s">
        <v>20</v>
      </c>
      <c r="F615" s="253" t="s">
        <v>21</v>
      </c>
      <c r="G615" s="253" t="s">
        <v>22</v>
      </c>
      <c r="H615" s="254">
        <v>1186</v>
      </c>
      <c r="I615" s="254">
        <v>1353</v>
      </c>
      <c r="J615" s="254">
        <v>1186</v>
      </c>
      <c r="K615" s="254">
        <v>1353</v>
      </c>
      <c r="L615" s="254">
        <v>-167</v>
      </c>
      <c r="M615" s="254">
        <v>-12.342941611234295</v>
      </c>
    </row>
    <row r="616" spans="1:13" ht="25.05" customHeight="1" x14ac:dyDescent="0.3">
      <c r="A616" s="253" t="s">
        <v>847</v>
      </c>
      <c r="B616" s="252" t="s">
        <v>884</v>
      </c>
      <c r="C616" s="252">
        <v>0</v>
      </c>
      <c r="D616" s="252">
        <v>0</v>
      </c>
      <c r="E616" s="252" t="s">
        <v>20</v>
      </c>
      <c r="F616" s="253" t="s">
        <v>21</v>
      </c>
      <c r="G616" s="253" t="s">
        <v>22</v>
      </c>
      <c r="H616" s="254">
        <v>4878</v>
      </c>
      <c r="I616" s="254">
        <v>5192</v>
      </c>
      <c r="J616" s="254">
        <v>4878</v>
      </c>
      <c r="K616" s="254">
        <v>5192</v>
      </c>
      <c r="L616" s="254">
        <v>-314</v>
      </c>
      <c r="M616" s="254">
        <v>-6.0477657935285052</v>
      </c>
    </row>
    <row r="617" spans="1:13" ht="25.05" customHeight="1" x14ac:dyDescent="0.3">
      <c r="A617" s="253" t="s">
        <v>847</v>
      </c>
      <c r="B617" s="252" t="s">
        <v>164</v>
      </c>
      <c r="C617" s="252">
        <v>0</v>
      </c>
      <c r="D617" s="252">
        <v>0</v>
      </c>
      <c r="E617" s="252" t="s">
        <v>20</v>
      </c>
      <c r="F617" s="253" t="s">
        <v>21</v>
      </c>
      <c r="G617" s="253" t="s">
        <v>22</v>
      </c>
      <c r="H617" s="254">
        <v>45572</v>
      </c>
      <c r="I617" s="254">
        <v>42198</v>
      </c>
      <c r="J617" s="254">
        <v>45572</v>
      </c>
      <c r="K617" s="254">
        <v>42198</v>
      </c>
      <c r="L617" s="254">
        <v>3374</v>
      </c>
      <c r="M617" s="254">
        <v>7.9956396037726902</v>
      </c>
    </row>
    <row r="618" spans="1:13" ht="25.05" customHeight="1" x14ac:dyDescent="0.3">
      <c r="A618" s="253" t="s">
        <v>847</v>
      </c>
      <c r="B618" s="252" t="s">
        <v>885</v>
      </c>
      <c r="C618" s="252">
        <v>0</v>
      </c>
      <c r="D618" s="252">
        <v>0</v>
      </c>
      <c r="E618" s="252" t="s">
        <v>20</v>
      </c>
      <c r="F618" s="253" t="s">
        <v>21</v>
      </c>
      <c r="G618" s="253" t="s">
        <v>22</v>
      </c>
      <c r="H618" s="254">
        <v>4824</v>
      </c>
      <c r="I618" s="254">
        <v>4444</v>
      </c>
      <c r="J618" s="254">
        <v>4824</v>
      </c>
      <c r="K618" s="254">
        <v>4444</v>
      </c>
      <c r="L618" s="254">
        <v>380</v>
      </c>
      <c r="M618" s="254">
        <v>8.5508550855085499</v>
      </c>
    </row>
    <row r="619" spans="1:13" ht="25.05" customHeight="1" x14ac:dyDescent="0.3">
      <c r="A619" s="253" t="s">
        <v>847</v>
      </c>
      <c r="B619" s="252" t="s">
        <v>886</v>
      </c>
      <c r="C619" s="252">
        <v>0</v>
      </c>
      <c r="D619" s="252">
        <v>0</v>
      </c>
      <c r="E619" s="252" t="s">
        <v>20</v>
      </c>
      <c r="F619" s="253" t="s">
        <v>21</v>
      </c>
      <c r="G619" s="253" t="s">
        <v>22</v>
      </c>
      <c r="H619" s="254">
        <v>4450</v>
      </c>
      <c r="I619" s="254">
        <v>4593</v>
      </c>
      <c r="J619" s="254">
        <v>4450</v>
      </c>
      <c r="K619" s="254">
        <v>4593</v>
      </c>
      <c r="L619" s="254">
        <v>-143</v>
      </c>
      <c r="M619" s="254">
        <v>-3.1134334857391681</v>
      </c>
    </row>
    <row r="620" spans="1:13" ht="25.05" customHeight="1" x14ac:dyDescent="0.3">
      <c r="A620" s="253" t="s">
        <v>847</v>
      </c>
      <c r="B620" s="252" t="s">
        <v>887</v>
      </c>
      <c r="C620" s="252">
        <v>0</v>
      </c>
      <c r="D620" s="252">
        <v>0</v>
      </c>
      <c r="E620" s="252" t="s">
        <v>20</v>
      </c>
      <c r="F620" s="253" t="s">
        <v>21</v>
      </c>
      <c r="G620" s="253" t="s">
        <v>22</v>
      </c>
      <c r="H620" s="254">
        <v>1641</v>
      </c>
      <c r="I620" s="254">
        <v>1528</v>
      </c>
      <c r="J620" s="254">
        <v>1641</v>
      </c>
      <c r="K620" s="254">
        <v>1528</v>
      </c>
      <c r="L620" s="254">
        <v>113</v>
      </c>
      <c r="M620" s="254">
        <v>7.3952879581151834</v>
      </c>
    </row>
    <row r="621" spans="1:13" ht="25.05" customHeight="1" x14ac:dyDescent="0.3">
      <c r="A621" s="253" t="s">
        <v>847</v>
      </c>
      <c r="B621" s="252" t="s">
        <v>888</v>
      </c>
      <c r="C621" s="252">
        <v>0</v>
      </c>
      <c r="D621" s="252">
        <v>0</v>
      </c>
      <c r="E621" s="252" t="s">
        <v>20</v>
      </c>
      <c r="F621" s="253" t="s">
        <v>21</v>
      </c>
      <c r="G621" s="253" t="s">
        <v>22</v>
      </c>
      <c r="H621" s="254">
        <v>1517</v>
      </c>
      <c r="I621" s="254">
        <v>1675</v>
      </c>
      <c r="J621" s="254">
        <v>1517</v>
      </c>
      <c r="K621" s="254">
        <v>1675</v>
      </c>
      <c r="L621" s="254">
        <v>-158</v>
      </c>
      <c r="M621" s="254">
        <v>-9.432835820895523</v>
      </c>
    </row>
    <row r="622" spans="1:13" ht="25.05" customHeight="1" x14ac:dyDescent="0.3">
      <c r="A622" s="253" t="s">
        <v>847</v>
      </c>
      <c r="B622" s="252" t="s">
        <v>86</v>
      </c>
      <c r="C622" s="252">
        <v>0</v>
      </c>
      <c r="D622" s="252" t="s">
        <v>84</v>
      </c>
      <c r="E622" s="252" t="s">
        <v>20</v>
      </c>
      <c r="F622" s="253" t="s">
        <v>21</v>
      </c>
      <c r="G622" s="253" t="s">
        <v>22</v>
      </c>
      <c r="H622" s="254">
        <v>901</v>
      </c>
      <c r="I622" s="254">
        <v>986</v>
      </c>
      <c r="J622" s="254">
        <v>901</v>
      </c>
      <c r="K622" s="254">
        <v>986</v>
      </c>
      <c r="L622" s="254">
        <v>-85</v>
      </c>
      <c r="M622" s="254">
        <v>-8.6206896551724146</v>
      </c>
    </row>
    <row r="623" spans="1:13" ht="25.05" customHeight="1" x14ac:dyDescent="0.3">
      <c r="A623" s="253" t="s">
        <v>847</v>
      </c>
      <c r="B623" s="252" t="s">
        <v>889</v>
      </c>
      <c r="C623" s="252">
        <v>0</v>
      </c>
      <c r="D623" s="252">
        <v>0</v>
      </c>
      <c r="E623" s="252" t="s">
        <v>20</v>
      </c>
      <c r="F623" s="253" t="s">
        <v>21</v>
      </c>
      <c r="G623" s="253" t="s">
        <v>22</v>
      </c>
      <c r="H623" s="254">
        <v>720</v>
      </c>
      <c r="I623" s="254">
        <v>671</v>
      </c>
      <c r="J623" s="254">
        <v>720</v>
      </c>
      <c r="K623" s="254">
        <v>671</v>
      </c>
      <c r="L623" s="254">
        <v>49</v>
      </c>
      <c r="M623" s="254">
        <v>7.3025335320417284</v>
      </c>
    </row>
    <row r="624" spans="1:13" ht="25.05" customHeight="1" x14ac:dyDescent="0.3">
      <c r="A624" s="253" t="s">
        <v>847</v>
      </c>
      <c r="B624" s="252" t="s">
        <v>890</v>
      </c>
      <c r="C624" s="252">
        <v>0</v>
      </c>
      <c r="D624" s="252">
        <v>0</v>
      </c>
      <c r="E624" s="252" t="s">
        <v>20</v>
      </c>
      <c r="F624" s="253" t="s">
        <v>21</v>
      </c>
      <c r="G624" s="253" t="s">
        <v>22</v>
      </c>
      <c r="H624" s="254">
        <v>14053</v>
      </c>
      <c r="I624" s="254">
        <v>13898</v>
      </c>
      <c r="J624" s="254">
        <v>14053</v>
      </c>
      <c r="K624" s="254">
        <v>13898</v>
      </c>
      <c r="L624" s="254">
        <v>155</v>
      </c>
      <c r="M624" s="254">
        <v>1.1152683839401352</v>
      </c>
    </row>
    <row r="625" spans="1:13" ht="25.05" customHeight="1" x14ac:dyDescent="0.3">
      <c r="A625" s="253" t="s">
        <v>847</v>
      </c>
      <c r="B625" s="252" t="s">
        <v>35</v>
      </c>
      <c r="C625" s="252">
        <v>0</v>
      </c>
      <c r="D625" s="252">
        <v>0</v>
      </c>
      <c r="E625" s="252" t="s">
        <v>20</v>
      </c>
      <c r="F625" s="253" t="s">
        <v>21</v>
      </c>
      <c r="G625" s="253" t="s">
        <v>22</v>
      </c>
      <c r="H625" s="254">
        <v>22959</v>
      </c>
      <c r="I625" s="254">
        <v>25963</v>
      </c>
      <c r="J625" s="254">
        <v>22959</v>
      </c>
      <c r="K625" s="254">
        <v>25963</v>
      </c>
      <c r="L625" s="254">
        <v>-3004</v>
      </c>
      <c r="M625" s="254">
        <v>-11.570311597273042</v>
      </c>
    </row>
    <row r="626" spans="1:13" ht="25.05" customHeight="1" x14ac:dyDescent="0.3">
      <c r="A626" s="267" t="s">
        <v>847</v>
      </c>
      <c r="B626" s="268" t="s">
        <v>891</v>
      </c>
      <c r="C626" s="268">
        <v>0</v>
      </c>
      <c r="D626" s="268">
        <v>0</v>
      </c>
      <c r="E626" s="268" t="s">
        <v>20</v>
      </c>
      <c r="F626" s="267" t="s">
        <v>21</v>
      </c>
      <c r="G626" s="267" t="s">
        <v>22</v>
      </c>
      <c r="H626" s="269">
        <v>82584</v>
      </c>
      <c r="I626" s="269">
        <v>82059</v>
      </c>
      <c r="J626" s="269">
        <v>82584</v>
      </c>
      <c r="K626" s="269">
        <v>82059</v>
      </c>
      <c r="L626" s="269">
        <v>525</v>
      </c>
      <c r="M626" s="269">
        <v>0.63978357035791322</v>
      </c>
    </row>
    <row r="627" spans="1:13" ht="25.05" customHeight="1" x14ac:dyDescent="0.3">
      <c r="A627" s="253" t="s">
        <v>892</v>
      </c>
      <c r="B627" s="252" t="s">
        <v>1760</v>
      </c>
      <c r="C627" s="252" t="s">
        <v>161</v>
      </c>
      <c r="D627" s="252" t="s">
        <v>258</v>
      </c>
      <c r="E627" s="252" t="s">
        <v>40</v>
      </c>
      <c r="F627" s="253" t="s">
        <v>250</v>
      </c>
      <c r="G627" s="253" t="s">
        <v>251</v>
      </c>
      <c r="H627" s="254">
        <v>10.4</v>
      </c>
      <c r="I627" s="254">
        <v>39.799999999999997</v>
      </c>
      <c r="J627" s="254">
        <v>98.685599999999994</v>
      </c>
      <c r="K627" s="254">
        <v>377.66219999999998</v>
      </c>
      <c r="L627" s="254">
        <v>-278.97659999999996</v>
      </c>
      <c r="M627" s="254">
        <v>-73.869346733668337</v>
      </c>
    </row>
    <row r="628" spans="1:13" ht="25.05" customHeight="1" x14ac:dyDescent="0.3">
      <c r="A628" s="253" t="s">
        <v>892</v>
      </c>
      <c r="B628" s="252" t="s">
        <v>893</v>
      </c>
      <c r="C628" s="252" t="s">
        <v>161</v>
      </c>
      <c r="D628" s="252" t="s">
        <v>258</v>
      </c>
      <c r="E628" s="252" t="s">
        <v>40</v>
      </c>
      <c r="F628" s="253" t="s">
        <v>250</v>
      </c>
      <c r="G628" s="253" t="s">
        <v>251</v>
      </c>
      <c r="H628" s="254">
        <v>25.2</v>
      </c>
      <c r="I628" s="254">
        <v>14</v>
      </c>
      <c r="J628" s="254">
        <v>239.12279999999998</v>
      </c>
      <c r="K628" s="254">
        <v>132.84599999999998</v>
      </c>
      <c r="L628" s="254">
        <v>106.27680000000001</v>
      </c>
      <c r="M628" s="254">
        <v>80.000000000000028</v>
      </c>
    </row>
    <row r="629" spans="1:13" ht="25.05" customHeight="1" x14ac:dyDescent="0.3">
      <c r="A629" s="253" t="s">
        <v>892</v>
      </c>
      <c r="B629" s="252" t="s">
        <v>894</v>
      </c>
      <c r="C629" s="252" t="s">
        <v>895</v>
      </c>
      <c r="D629" s="252" t="s">
        <v>113</v>
      </c>
      <c r="E629" s="252" t="s">
        <v>46</v>
      </c>
      <c r="F629" s="253" t="s">
        <v>250</v>
      </c>
      <c r="G629" s="253" t="s">
        <v>251</v>
      </c>
      <c r="H629" s="254">
        <v>0.6</v>
      </c>
      <c r="I629" s="254">
        <v>0</v>
      </c>
      <c r="J629" s="254">
        <v>5.6933999999999996</v>
      </c>
      <c r="K629" s="254">
        <v>0</v>
      </c>
      <c r="L629" s="254">
        <v>5.6933999999999996</v>
      </c>
      <c r="M629" s="254" t="s">
        <v>67</v>
      </c>
    </row>
    <row r="630" spans="1:13" ht="25.05" customHeight="1" x14ac:dyDescent="0.3">
      <c r="A630" s="253" t="s">
        <v>892</v>
      </c>
      <c r="B630" s="252" t="s">
        <v>896</v>
      </c>
      <c r="C630" s="252" t="s">
        <v>163</v>
      </c>
      <c r="D630" s="252" t="s">
        <v>100</v>
      </c>
      <c r="E630" s="252" t="s">
        <v>46</v>
      </c>
      <c r="F630" s="253" t="s">
        <v>250</v>
      </c>
      <c r="G630" s="253" t="s">
        <v>251</v>
      </c>
      <c r="H630" s="254">
        <v>12.100000000000001</v>
      </c>
      <c r="I630" s="254">
        <v>11.5</v>
      </c>
      <c r="J630" s="254">
        <v>114.8169</v>
      </c>
      <c r="K630" s="254">
        <v>109.12349999999999</v>
      </c>
      <c r="L630" s="254">
        <v>5.6934000000000111</v>
      </c>
      <c r="M630" s="254">
        <v>5.2173913043478368</v>
      </c>
    </row>
    <row r="631" spans="1:13" ht="25.05" customHeight="1" x14ac:dyDescent="0.3">
      <c r="A631" s="253" t="s">
        <v>892</v>
      </c>
      <c r="B631" s="252" t="s">
        <v>897</v>
      </c>
      <c r="C631" s="252" t="s">
        <v>898</v>
      </c>
      <c r="D631" s="252" t="s">
        <v>100</v>
      </c>
      <c r="E631" s="252" t="s">
        <v>46</v>
      </c>
      <c r="F631" s="253" t="s">
        <v>250</v>
      </c>
      <c r="G631" s="253" t="s">
        <v>251</v>
      </c>
      <c r="H631" s="254">
        <v>9.1</v>
      </c>
      <c r="I631" s="254">
        <v>6.9</v>
      </c>
      <c r="J631" s="254">
        <v>86.349899999999991</v>
      </c>
      <c r="K631" s="254">
        <v>65.474099999999993</v>
      </c>
      <c r="L631" s="254">
        <v>20.875799999999998</v>
      </c>
      <c r="M631" s="254">
        <v>31.884057971014496</v>
      </c>
    </row>
    <row r="632" spans="1:13" ht="25.05" customHeight="1" x14ac:dyDescent="0.3">
      <c r="A632" s="253" t="s">
        <v>892</v>
      </c>
      <c r="B632" s="252" t="s">
        <v>899</v>
      </c>
      <c r="C632" s="252" t="s">
        <v>900</v>
      </c>
      <c r="D632" s="252" t="s">
        <v>100</v>
      </c>
      <c r="E632" s="252" t="s">
        <v>46</v>
      </c>
      <c r="F632" s="253" t="s">
        <v>250</v>
      </c>
      <c r="G632" s="253" t="s">
        <v>251</v>
      </c>
      <c r="H632" s="254">
        <v>3.4</v>
      </c>
      <c r="I632" s="254">
        <v>3.6</v>
      </c>
      <c r="J632" s="254">
        <v>32.262599999999999</v>
      </c>
      <c r="K632" s="254">
        <v>34.160399999999996</v>
      </c>
      <c r="L632" s="254">
        <v>-1.8977999999999966</v>
      </c>
      <c r="M632" s="254">
        <v>-5.5555555555555465</v>
      </c>
    </row>
    <row r="633" spans="1:13" ht="25.05" customHeight="1" x14ac:dyDescent="0.3">
      <c r="A633" s="253" t="s">
        <v>892</v>
      </c>
      <c r="B633" s="252" t="s">
        <v>901</v>
      </c>
      <c r="C633" s="252" t="s">
        <v>902</v>
      </c>
      <c r="D633" s="252" t="s">
        <v>201</v>
      </c>
      <c r="E633" s="252" t="s">
        <v>46</v>
      </c>
      <c r="F633" s="253" t="s">
        <v>250</v>
      </c>
      <c r="G633" s="253" t="s">
        <v>251</v>
      </c>
      <c r="H633" s="254">
        <v>6.9</v>
      </c>
      <c r="I633" s="254">
        <v>7.4</v>
      </c>
      <c r="J633" s="254">
        <v>65.474099999999993</v>
      </c>
      <c r="K633" s="254">
        <v>70.218599999999995</v>
      </c>
      <c r="L633" s="254">
        <v>-4.7445000000000022</v>
      </c>
      <c r="M633" s="254">
        <v>-6.7567567567567597</v>
      </c>
    </row>
    <row r="634" spans="1:13" ht="25.05" customHeight="1" x14ac:dyDescent="0.3">
      <c r="A634" s="253" t="s">
        <v>892</v>
      </c>
      <c r="B634" s="252" t="s">
        <v>903</v>
      </c>
      <c r="C634" s="252" t="s">
        <v>904</v>
      </c>
      <c r="D634" s="252" t="s">
        <v>129</v>
      </c>
      <c r="E634" s="252" t="s">
        <v>46</v>
      </c>
      <c r="F634" s="253" t="s">
        <v>250</v>
      </c>
      <c r="G634" s="253" t="s">
        <v>251</v>
      </c>
      <c r="H634" s="254">
        <v>3.2</v>
      </c>
      <c r="I634" s="254">
        <v>4</v>
      </c>
      <c r="J634" s="254">
        <v>30.364799999999999</v>
      </c>
      <c r="K634" s="254">
        <v>37.955999999999996</v>
      </c>
      <c r="L634" s="254">
        <v>-7.5911999999999971</v>
      </c>
      <c r="M634" s="254">
        <v>-19.999999999999996</v>
      </c>
    </row>
    <row r="635" spans="1:13" ht="25.05" customHeight="1" x14ac:dyDescent="0.3">
      <c r="A635" s="253" t="s">
        <v>892</v>
      </c>
      <c r="B635" s="252" t="s">
        <v>905</v>
      </c>
      <c r="C635" s="252" t="s">
        <v>155</v>
      </c>
      <c r="D635" s="252" t="s">
        <v>113</v>
      </c>
      <c r="E635" s="252" t="s">
        <v>40</v>
      </c>
      <c r="F635" s="253" t="s">
        <v>250</v>
      </c>
      <c r="G635" s="253" t="s">
        <v>251</v>
      </c>
      <c r="H635" s="254">
        <v>26.7</v>
      </c>
      <c r="I635" s="254">
        <v>24.6</v>
      </c>
      <c r="J635" s="254">
        <v>253.35629999999998</v>
      </c>
      <c r="K635" s="254">
        <v>233.42939999999999</v>
      </c>
      <c r="L635" s="254">
        <v>19.926899999999989</v>
      </c>
      <c r="M635" s="254">
        <v>8.5365853658536555</v>
      </c>
    </row>
    <row r="636" spans="1:13" ht="25.05" customHeight="1" x14ac:dyDescent="0.3">
      <c r="A636" s="253" t="s">
        <v>892</v>
      </c>
      <c r="B636" s="252" t="s">
        <v>906</v>
      </c>
      <c r="C636" s="252" t="s">
        <v>907</v>
      </c>
      <c r="D636" s="252" t="s">
        <v>89</v>
      </c>
      <c r="E636" s="252" t="s">
        <v>46</v>
      </c>
      <c r="F636" s="253" t="s">
        <v>250</v>
      </c>
      <c r="G636" s="253" t="s">
        <v>251</v>
      </c>
      <c r="H636" s="254">
        <v>4</v>
      </c>
      <c r="I636" s="254">
        <v>4.7</v>
      </c>
      <c r="J636" s="254">
        <v>37.955999999999996</v>
      </c>
      <c r="K636" s="254">
        <v>44.598299999999995</v>
      </c>
      <c r="L636" s="254">
        <v>-6.6422999999999988</v>
      </c>
      <c r="M636" s="254">
        <v>-14.893617021276595</v>
      </c>
    </row>
    <row r="637" spans="1:13" ht="25.05" customHeight="1" x14ac:dyDescent="0.3">
      <c r="A637" s="253" t="s">
        <v>892</v>
      </c>
      <c r="B637" s="252" t="s">
        <v>908</v>
      </c>
      <c r="C637" s="252" t="s">
        <v>909</v>
      </c>
      <c r="D637" s="252" t="s">
        <v>49</v>
      </c>
      <c r="E637" s="252" t="s">
        <v>40</v>
      </c>
      <c r="F637" s="253" t="s">
        <v>250</v>
      </c>
      <c r="G637" s="253" t="s">
        <v>251</v>
      </c>
      <c r="H637" s="254">
        <v>13.6</v>
      </c>
      <c r="I637" s="254">
        <v>12.8</v>
      </c>
      <c r="J637" s="254">
        <v>129.0504</v>
      </c>
      <c r="K637" s="254">
        <v>121.4592</v>
      </c>
      <c r="L637" s="254">
        <v>7.5912000000000006</v>
      </c>
      <c r="M637" s="254">
        <v>6.2500000000000018</v>
      </c>
    </row>
    <row r="638" spans="1:13" ht="25.05" customHeight="1" x14ac:dyDescent="0.3">
      <c r="A638" s="253" t="s">
        <v>892</v>
      </c>
      <c r="B638" s="252" t="s">
        <v>910</v>
      </c>
      <c r="C638" s="252" t="s">
        <v>376</v>
      </c>
      <c r="D638" s="252" t="s">
        <v>49</v>
      </c>
      <c r="E638" s="252" t="s">
        <v>40</v>
      </c>
      <c r="F638" s="253" t="s">
        <v>250</v>
      </c>
      <c r="G638" s="253" t="s">
        <v>251</v>
      </c>
      <c r="H638" s="254">
        <v>11.8</v>
      </c>
      <c r="I638" s="254">
        <v>9.6999999999999993</v>
      </c>
      <c r="J638" s="254">
        <v>111.97019999999999</v>
      </c>
      <c r="K638" s="254">
        <v>92.043299999999988</v>
      </c>
      <c r="L638" s="254">
        <v>19.926900000000003</v>
      </c>
      <c r="M638" s="254">
        <v>21.649484536082479</v>
      </c>
    </row>
    <row r="639" spans="1:13" ht="25.05" customHeight="1" x14ac:dyDescent="0.3">
      <c r="A639" s="253" t="s">
        <v>892</v>
      </c>
      <c r="B639" s="252" t="s">
        <v>911</v>
      </c>
      <c r="C639" s="252" t="s">
        <v>147</v>
      </c>
      <c r="D639" s="252" t="s">
        <v>113</v>
      </c>
      <c r="E639" s="252" t="s">
        <v>40</v>
      </c>
      <c r="F639" s="253" t="s">
        <v>250</v>
      </c>
      <c r="G639" s="253" t="s">
        <v>251</v>
      </c>
      <c r="H639" s="254">
        <v>7.6</v>
      </c>
      <c r="I639" s="254">
        <v>4.9000000000000004</v>
      </c>
      <c r="J639" s="254">
        <v>72.116399999999999</v>
      </c>
      <c r="K639" s="254">
        <v>46.496099999999998</v>
      </c>
      <c r="L639" s="254">
        <v>25.6203</v>
      </c>
      <c r="M639" s="254">
        <v>55.102040816326536</v>
      </c>
    </row>
    <row r="640" spans="1:13" ht="25.05" customHeight="1" x14ac:dyDescent="0.3">
      <c r="A640" s="253" t="s">
        <v>892</v>
      </c>
      <c r="B640" s="252" t="s">
        <v>912</v>
      </c>
      <c r="C640" s="252" t="s">
        <v>913</v>
      </c>
      <c r="D640" s="252" t="s">
        <v>43</v>
      </c>
      <c r="E640" s="252" t="s">
        <v>46</v>
      </c>
      <c r="F640" s="253" t="s">
        <v>250</v>
      </c>
      <c r="G640" s="253" t="s">
        <v>251</v>
      </c>
      <c r="H640" s="254">
        <v>8.6</v>
      </c>
      <c r="I640" s="254">
        <v>10.8</v>
      </c>
      <c r="J640" s="254">
        <v>81.605399999999989</v>
      </c>
      <c r="K640" s="254">
        <v>102.48119999999999</v>
      </c>
      <c r="L640" s="254">
        <v>-20.875799999999998</v>
      </c>
      <c r="M640" s="254">
        <v>-20.370370370370374</v>
      </c>
    </row>
    <row r="641" spans="1:13" ht="25.05" customHeight="1" x14ac:dyDescent="0.3">
      <c r="A641" s="253" t="s">
        <v>892</v>
      </c>
      <c r="B641" s="252" t="s">
        <v>914</v>
      </c>
      <c r="C641" s="252" t="s">
        <v>913</v>
      </c>
      <c r="D641" s="252" t="s">
        <v>43</v>
      </c>
      <c r="E641" s="252" t="s">
        <v>46</v>
      </c>
      <c r="F641" s="253" t="s">
        <v>250</v>
      </c>
      <c r="G641" s="253" t="s">
        <v>251</v>
      </c>
      <c r="H641" s="254">
        <v>10.6</v>
      </c>
      <c r="I641" s="254">
        <v>13.6</v>
      </c>
      <c r="J641" s="254">
        <v>100.5834</v>
      </c>
      <c r="K641" s="254">
        <v>129.0504</v>
      </c>
      <c r="L641" s="254">
        <v>-28.466999999999999</v>
      </c>
      <c r="M641" s="254">
        <v>-22.058823529411764</v>
      </c>
    </row>
    <row r="642" spans="1:13" ht="25.05" customHeight="1" x14ac:dyDescent="0.3">
      <c r="A642" s="253" t="s">
        <v>892</v>
      </c>
      <c r="B642" s="252" t="s">
        <v>915</v>
      </c>
      <c r="C642" s="273" t="s">
        <v>1833</v>
      </c>
      <c r="D642" s="252" t="s">
        <v>56</v>
      </c>
      <c r="E642" s="252" t="s">
        <v>46</v>
      </c>
      <c r="F642" s="253" t="s">
        <v>250</v>
      </c>
      <c r="G642" s="253" t="s">
        <v>251</v>
      </c>
      <c r="H642" s="254">
        <v>6.9</v>
      </c>
      <c r="I642" s="254">
        <v>6.8</v>
      </c>
      <c r="J642" s="254">
        <v>65.474099999999993</v>
      </c>
      <c r="K642" s="254">
        <v>64.525199999999998</v>
      </c>
      <c r="L642" s="254">
        <v>0.94889999999999475</v>
      </c>
      <c r="M642" s="254">
        <v>1.4705882352941095</v>
      </c>
    </row>
    <row r="643" spans="1:13" ht="25.05" customHeight="1" x14ac:dyDescent="0.3">
      <c r="A643" s="253" t="s">
        <v>892</v>
      </c>
      <c r="B643" s="252" t="s">
        <v>917</v>
      </c>
      <c r="C643" s="252" t="s">
        <v>918</v>
      </c>
      <c r="D643" s="252" t="s">
        <v>56</v>
      </c>
      <c r="E643" s="252" t="s">
        <v>40</v>
      </c>
      <c r="F643" s="253" t="s">
        <v>250</v>
      </c>
      <c r="G643" s="253" t="s">
        <v>251</v>
      </c>
      <c r="H643" s="254">
        <v>2.8</v>
      </c>
      <c r="I643" s="254">
        <v>2.5</v>
      </c>
      <c r="J643" s="254">
        <v>26.569199999999999</v>
      </c>
      <c r="K643" s="254">
        <v>23.722499999999997</v>
      </c>
      <c r="L643" s="254">
        <v>2.846700000000002</v>
      </c>
      <c r="M643" s="254">
        <v>12.000000000000011</v>
      </c>
    </row>
    <row r="644" spans="1:13" ht="25.05" customHeight="1" x14ac:dyDescent="0.3">
      <c r="A644" s="253" t="s">
        <v>892</v>
      </c>
      <c r="B644" s="252" t="s">
        <v>919</v>
      </c>
      <c r="C644" s="252" t="s">
        <v>920</v>
      </c>
      <c r="D644" s="252" t="s">
        <v>62</v>
      </c>
      <c r="E644" s="252" t="s">
        <v>46</v>
      </c>
      <c r="F644" s="253" t="s">
        <v>250</v>
      </c>
      <c r="G644" s="253" t="s">
        <v>251</v>
      </c>
      <c r="H644" s="254">
        <v>9.4</v>
      </c>
      <c r="I644" s="254">
        <v>9.6999999999999993</v>
      </c>
      <c r="J644" s="254">
        <v>89.196599999999989</v>
      </c>
      <c r="K644" s="254">
        <v>92.043299999999988</v>
      </c>
      <c r="L644" s="254">
        <v>-2.8466999999999985</v>
      </c>
      <c r="M644" s="254">
        <v>-3.092783505154638</v>
      </c>
    </row>
    <row r="645" spans="1:13" ht="25.05" customHeight="1" x14ac:dyDescent="0.3">
      <c r="A645" s="253" t="s">
        <v>892</v>
      </c>
      <c r="B645" s="252" t="s">
        <v>921</v>
      </c>
      <c r="C645" s="252" t="s">
        <v>922</v>
      </c>
      <c r="D645" s="252" t="s">
        <v>62</v>
      </c>
      <c r="E645" s="252" t="s">
        <v>46</v>
      </c>
      <c r="F645" s="253" t="s">
        <v>250</v>
      </c>
      <c r="G645" s="253" t="s">
        <v>251</v>
      </c>
      <c r="H645" s="254">
        <v>0.9</v>
      </c>
      <c r="I645" s="254">
        <v>0.1</v>
      </c>
      <c r="J645" s="254">
        <v>8.5400999999999989</v>
      </c>
      <c r="K645" s="254">
        <v>0.94889999999999997</v>
      </c>
      <c r="L645" s="254">
        <v>7.5911999999999988</v>
      </c>
      <c r="M645" s="254">
        <v>799.99999999999989</v>
      </c>
    </row>
    <row r="646" spans="1:13" ht="25.05" customHeight="1" x14ac:dyDescent="0.3">
      <c r="A646" s="253" t="s">
        <v>892</v>
      </c>
      <c r="B646" s="252" t="s">
        <v>923</v>
      </c>
      <c r="C646" s="252" t="s">
        <v>924</v>
      </c>
      <c r="D646" s="252" t="s">
        <v>62</v>
      </c>
      <c r="E646" s="252" t="s">
        <v>46</v>
      </c>
      <c r="F646" s="253" t="s">
        <v>250</v>
      </c>
      <c r="G646" s="253" t="s">
        <v>251</v>
      </c>
      <c r="H646" s="254">
        <v>3.9</v>
      </c>
      <c r="I646" s="254">
        <v>4.5</v>
      </c>
      <c r="J646" s="254">
        <v>37.007099999999994</v>
      </c>
      <c r="K646" s="254">
        <v>42.700499999999998</v>
      </c>
      <c r="L646" s="254">
        <v>-5.693400000000004</v>
      </c>
      <c r="M646" s="254">
        <v>-13.333333333333345</v>
      </c>
    </row>
    <row r="647" spans="1:13" ht="25.05" customHeight="1" x14ac:dyDescent="0.3">
      <c r="A647" s="253" t="s">
        <v>892</v>
      </c>
      <c r="B647" s="252" t="s">
        <v>925</v>
      </c>
      <c r="C647" s="252" t="s">
        <v>926</v>
      </c>
      <c r="D647" s="252" t="s">
        <v>169</v>
      </c>
      <c r="E647" s="252" t="s">
        <v>40</v>
      </c>
      <c r="F647" s="253" t="s">
        <v>250</v>
      </c>
      <c r="G647" s="253" t="s">
        <v>251</v>
      </c>
      <c r="H647" s="254">
        <v>58</v>
      </c>
      <c r="I647" s="254">
        <v>32.6</v>
      </c>
      <c r="J647" s="254">
        <v>550.36199999999997</v>
      </c>
      <c r="K647" s="254">
        <v>309.34139999999996</v>
      </c>
      <c r="L647" s="254">
        <v>241.0206</v>
      </c>
      <c r="M647" s="254">
        <v>77.914110429447859</v>
      </c>
    </row>
    <row r="648" spans="1:13" ht="25.05" customHeight="1" x14ac:dyDescent="0.3">
      <c r="A648" s="253" t="s">
        <v>892</v>
      </c>
      <c r="B648" s="252" t="s">
        <v>927</v>
      </c>
      <c r="C648" s="252" t="s">
        <v>920</v>
      </c>
      <c r="D648" s="252" t="s">
        <v>62</v>
      </c>
      <c r="E648" s="252" t="s">
        <v>46</v>
      </c>
      <c r="F648" s="253" t="s">
        <v>250</v>
      </c>
      <c r="G648" s="253" t="s">
        <v>251</v>
      </c>
      <c r="H648" s="254">
        <v>2.6</v>
      </c>
      <c r="I648" s="254">
        <v>0.1</v>
      </c>
      <c r="J648" s="254">
        <v>24.671399999999998</v>
      </c>
      <c r="K648" s="254">
        <v>0.94889999999999997</v>
      </c>
      <c r="L648" s="254">
        <v>23.7225</v>
      </c>
      <c r="M648" s="254">
        <v>2500</v>
      </c>
    </row>
    <row r="649" spans="1:13" ht="25.05" customHeight="1" x14ac:dyDescent="0.3">
      <c r="A649" s="253" t="s">
        <v>892</v>
      </c>
      <c r="B649" s="252" t="s">
        <v>928</v>
      </c>
      <c r="C649" s="252" t="s">
        <v>929</v>
      </c>
      <c r="D649" s="252" t="s">
        <v>49</v>
      </c>
      <c r="E649" s="252" t="s">
        <v>46</v>
      </c>
      <c r="F649" s="253" t="s">
        <v>250</v>
      </c>
      <c r="G649" s="253" t="s">
        <v>251</v>
      </c>
      <c r="H649" s="254">
        <v>10.199999999999999</v>
      </c>
      <c r="I649" s="254">
        <v>11.2</v>
      </c>
      <c r="J649" s="254">
        <v>96.78779999999999</v>
      </c>
      <c r="K649" s="254">
        <v>106.27679999999999</v>
      </c>
      <c r="L649" s="254">
        <v>-9.4890000000000043</v>
      </c>
      <c r="M649" s="254">
        <v>-8.9285714285714324</v>
      </c>
    </row>
    <row r="650" spans="1:13" ht="25.05" customHeight="1" x14ac:dyDescent="0.3">
      <c r="A650" s="253" t="s">
        <v>892</v>
      </c>
      <c r="B650" s="252" t="s">
        <v>930</v>
      </c>
      <c r="C650" s="252" t="s">
        <v>931</v>
      </c>
      <c r="D650" s="252" t="s">
        <v>49</v>
      </c>
      <c r="E650" s="252" t="s">
        <v>46</v>
      </c>
      <c r="F650" s="253" t="s">
        <v>250</v>
      </c>
      <c r="G650" s="253" t="s">
        <v>251</v>
      </c>
      <c r="H650" s="254">
        <v>4.2</v>
      </c>
      <c r="I650" s="254">
        <v>4</v>
      </c>
      <c r="J650" s="254">
        <v>39.8538</v>
      </c>
      <c r="K650" s="254">
        <v>37.955999999999996</v>
      </c>
      <c r="L650" s="254">
        <v>1.8978000000000037</v>
      </c>
      <c r="M650" s="254">
        <v>5.0000000000000098</v>
      </c>
    </row>
    <row r="651" spans="1:13" ht="25.05" customHeight="1" x14ac:dyDescent="0.3">
      <c r="A651" s="253" t="s">
        <v>892</v>
      </c>
      <c r="B651" s="252" t="s">
        <v>932</v>
      </c>
      <c r="C651" s="252" t="s">
        <v>933</v>
      </c>
      <c r="D651" s="252" t="s">
        <v>97</v>
      </c>
      <c r="E651" s="252" t="s">
        <v>46</v>
      </c>
      <c r="F651" s="253" t="s">
        <v>250</v>
      </c>
      <c r="G651" s="253" t="s">
        <v>251</v>
      </c>
      <c r="H651" s="254">
        <v>2.2999999999999998</v>
      </c>
      <c r="I651" s="254">
        <v>2</v>
      </c>
      <c r="J651" s="254">
        <v>21.824699999999996</v>
      </c>
      <c r="K651" s="254">
        <v>18.977999999999998</v>
      </c>
      <c r="L651" s="254">
        <v>2.8466999999999985</v>
      </c>
      <c r="M651" s="254">
        <v>14.999999999999995</v>
      </c>
    </row>
    <row r="652" spans="1:13" ht="25.05" customHeight="1" x14ac:dyDescent="0.3">
      <c r="A652" s="253" t="s">
        <v>892</v>
      </c>
      <c r="B652" s="252" t="s">
        <v>934</v>
      </c>
      <c r="C652" s="252" t="s">
        <v>935</v>
      </c>
      <c r="D652" s="252" t="s">
        <v>126</v>
      </c>
      <c r="E652" s="252" t="s">
        <v>46</v>
      </c>
      <c r="F652" s="253" t="s">
        <v>250</v>
      </c>
      <c r="G652" s="253" t="s">
        <v>251</v>
      </c>
      <c r="H652" s="254">
        <v>3.2</v>
      </c>
      <c r="I652" s="254">
        <v>3</v>
      </c>
      <c r="J652" s="254">
        <v>30.364799999999999</v>
      </c>
      <c r="K652" s="254">
        <v>28.466999999999999</v>
      </c>
      <c r="L652" s="254">
        <v>1.8978000000000002</v>
      </c>
      <c r="M652" s="254">
        <v>6.6666666666666679</v>
      </c>
    </row>
    <row r="653" spans="1:13" ht="25.05" customHeight="1" x14ac:dyDescent="0.3">
      <c r="A653" s="253" t="s">
        <v>892</v>
      </c>
      <c r="B653" s="252" t="s">
        <v>936</v>
      </c>
      <c r="C653" s="252" t="s">
        <v>155</v>
      </c>
      <c r="D653" s="252" t="s">
        <v>113</v>
      </c>
      <c r="E653" s="252" t="s">
        <v>40</v>
      </c>
      <c r="F653" s="253" t="s">
        <v>250</v>
      </c>
      <c r="G653" s="253" t="s">
        <v>251</v>
      </c>
      <c r="H653" s="254">
        <v>4.0999999999999996</v>
      </c>
      <c r="I653" s="254">
        <v>3.8</v>
      </c>
      <c r="J653" s="254">
        <v>38.904899999999998</v>
      </c>
      <c r="K653" s="254">
        <v>36.058199999999999</v>
      </c>
      <c r="L653" s="254">
        <v>2.8466999999999985</v>
      </c>
      <c r="M653" s="254">
        <v>7.8947368421052584</v>
      </c>
    </row>
    <row r="654" spans="1:13" ht="25.05" customHeight="1" x14ac:dyDescent="0.3">
      <c r="A654" s="253" t="s">
        <v>892</v>
      </c>
      <c r="B654" s="252" t="s">
        <v>937</v>
      </c>
      <c r="C654" s="252" t="s">
        <v>157</v>
      </c>
      <c r="D654" s="252" t="s">
        <v>113</v>
      </c>
      <c r="E654" s="252" t="s">
        <v>40</v>
      </c>
      <c r="F654" s="253" t="s">
        <v>250</v>
      </c>
      <c r="G654" s="253" t="s">
        <v>251</v>
      </c>
      <c r="H654" s="254">
        <v>6.1</v>
      </c>
      <c r="I654" s="254">
        <v>6.4</v>
      </c>
      <c r="J654" s="254">
        <v>57.882899999999992</v>
      </c>
      <c r="K654" s="254">
        <v>60.729599999999998</v>
      </c>
      <c r="L654" s="254">
        <v>-2.8467000000000056</v>
      </c>
      <c r="M654" s="254">
        <v>-4.6875000000000089</v>
      </c>
    </row>
    <row r="655" spans="1:13" ht="25.05" customHeight="1" x14ac:dyDescent="0.3">
      <c r="A655" s="253" t="s">
        <v>892</v>
      </c>
      <c r="B655" s="252" t="s">
        <v>938</v>
      </c>
      <c r="C655" s="252">
        <v>0</v>
      </c>
      <c r="D655" s="252">
        <v>0</v>
      </c>
      <c r="E655" s="252" t="s">
        <v>20</v>
      </c>
      <c r="F655" s="253" t="s">
        <v>250</v>
      </c>
      <c r="G655" s="253" t="s">
        <v>251</v>
      </c>
      <c r="H655" s="254">
        <v>19.5</v>
      </c>
      <c r="I655" s="254">
        <v>17.899999999999999</v>
      </c>
      <c r="J655" s="254">
        <v>185.03549999999998</v>
      </c>
      <c r="K655" s="254">
        <v>169.85309999999998</v>
      </c>
      <c r="L655" s="254">
        <v>15.182400000000001</v>
      </c>
      <c r="M655" s="254">
        <v>8.9385474860335208</v>
      </c>
    </row>
    <row r="656" spans="1:13" ht="25.05" customHeight="1" x14ac:dyDescent="0.3">
      <c r="A656" s="253" t="s">
        <v>892</v>
      </c>
      <c r="B656" s="252" t="s">
        <v>939</v>
      </c>
      <c r="C656" s="252" t="s">
        <v>225</v>
      </c>
      <c r="D656" s="252" t="s">
        <v>221</v>
      </c>
      <c r="E656" s="252" t="s">
        <v>40</v>
      </c>
      <c r="F656" s="253" t="s">
        <v>250</v>
      </c>
      <c r="G656" s="253" t="s">
        <v>251</v>
      </c>
      <c r="H656" s="254">
        <v>2.1</v>
      </c>
      <c r="I656" s="254">
        <v>8.9</v>
      </c>
      <c r="J656" s="254">
        <v>19.9269</v>
      </c>
      <c r="K656" s="254">
        <v>84.452099999999987</v>
      </c>
      <c r="L656" s="254">
        <v>-64.525199999999984</v>
      </c>
      <c r="M656" s="254">
        <v>-76.404494382022463</v>
      </c>
    </row>
    <row r="657" spans="1:13" ht="25.05" customHeight="1" x14ac:dyDescent="0.3">
      <c r="A657" s="267" t="s">
        <v>892</v>
      </c>
      <c r="B657" s="268" t="s">
        <v>164</v>
      </c>
      <c r="C657" s="268">
        <v>0</v>
      </c>
      <c r="D657" s="268">
        <v>0</v>
      </c>
      <c r="E657" s="268" t="s">
        <v>20</v>
      </c>
      <c r="F657" s="267" t="s">
        <v>250</v>
      </c>
      <c r="G657" s="267" t="s">
        <v>251</v>
      </c>
      <c r="H657" s="269">
        <v>318.39999999999998</v>
      </c>
      <c r="I657" s="269">
        <v>305.8</v>
      </c>
      <c r="J657" s="269">
        <v>3021.2975999999999</v>
      </c>
      <c r="K657" s="269">
        <v>2901.7361999999998</v>
      </c>
      <c r="L657" s="269">
        <v>119.56140000000005</v>
      </c>
      <c r="M657" s="269">
        <v>4.120340091563115</v>
      </c>
    </row>
    <row r="658" spans="1:13" ht="25.05" customHeight="1" x14ac:dyDescent="0.3">
      <c r="A658" s="253" t="s">
        <v>940</v>
      </c>
      <c r="B658" s="252" t="s">
        <v>1764</v>
      </c>
      <c r="C658" s="252" t="s">
        <v>1235</v>
      </c>
      <c r="D658" s="252" t="s">
        <v>62</v>
      </c>
      <c r="E658" s="252" t="s">
        <v>46</v>
      </c>
      <c r="F658" s="253" t="s">
        <v>307</v>
      </c>
      <c r="G658" s="253" t="s">
        <v>22</v>
      </c>
      <c r="H658" s="254">
        <v>2271</v>
      </c>
      <c r="I658" s="254">
        <v>1961</v>
      </c>
      <c r="J658" s="254">
        <v>369.37133700000004</v>
      </c>
      <c r="K658" s="254">
        <v>318.95076700000004</v>
      </c>
      <c r="L658" s="254">
        <v>50.420569999999998</v>
      </c>
      <c r="M658" s="254">
        <v>15.808261091279958</v>
      </c>
    </row>
    <row r="659" spans="1:13" ht="25.05" customHeight="1" x14ac:dyDescent="0.3">
      <c r="A659" s="253" t="s">
        <v>940</v>
      </c>
      <c r="B659" s="252" t="s">
        <v>941</v>
      </c>
      <c r="C659" s="252" t="s">
        <v>942</v>
      </c>
      <c r="D659" s="252" t="s">
        <v>62</v>
      </c>
      <c r="E659" s="252" t="s">
        <v>46</v>
      </c>
      <c r="F659" s="253" t="s">
        <v>307</v>
      </c>
      <c r="G659" s="253" t="s">
        <v>22</v>
      </c>
      <c r="H659" s="254">
        <v>3102</v>
      </c>
      <c r="I659" s="254">
        <v>2826</v>
      </c>
      <c r="J659" s="254">
        <v>504.53099400000002</v>
      </c>
      <c r="K659" s="254">
        <v>459.64042200000006</v>
      </c>
      <c r="L659" s="254">
        <v>44.890571999999963</v>
      </c>
      <c r="M659" s="254">
        <v>9.7664543524416043</v>
      </c>
    </row>
    <row r="660" spans="1:13" ht="25.05" customHeight="1" x14ac:dyDescent="0.3">
      <c r="A660" s="253" t="s">
        <v>940</v>
      </c>
      <c r="B660" s="252" t="s">
        <v>943</v>
      </c>
      <c r="C660" s="252" t="s">
        <v>944</v>
      </c>
      <c r="D660" s="252" t="s">
        <v>62</v>
      </c>
      <c r="E660" s="252" t="s">
        <v>46</v>
      </c>
      <c r="F660" s="253" t="s">
        <v>307</v>
      </c>
      <c r="G660" s="253" t="s">
        <v>22</v>
      </c>
      <c r="H660" s="254">
        <v>2553</v>
      </c>
      <c r="I660" s="254">
        <v>2328</v>
      </c>
      <c r="J660" s="254">
        <v>415.23779100000002</v>
      </c>
      <c r="K660" s="254">
        <v>378.64221600000002</v>
      </c>
      <c r="L660" s="254">
        <v>36.595574999999997</v>
      </c>
      <c r="M660" s="254">
        <v>9.6649484536082468</v>
      </c>
    </row>
    <row r="661" spans="1:13" ht="25.05" customHeight="1" x14ac:dyDescent="0.3">
      <c r="A661" s="253" t="s">
        <v>940</v>
      </c>
      <c r="B661" s="252" t="s">
        <v>945</v>
      </c>
      <c r="C661" s="252" t="s">
        <v>946</v>
      </c>
      <c r="D661" s="252" t="s">
        <v>62</v>
      </c>
      <c r="E661" s="252" t="s">
        <v>46</v>
      </c>
      <c r="F661" s="253" t="s">
        <v>307</v>
      </c>
      <c r="G661" s="253" t="s">
        <v>22</v>
      </c>
      <c r="H661" s="254">
        <v>2620</v>
      </c>
      <c r="I661" s="254">
        <v>2270</v>
      </c>
      <c r="J661" s="254">
        <v>426.13514000000004</v>
      </c>
      <c r="K661" s="254">
        <v>369.20869000000005</v>
      </c>
      <c r="L661" s="254">
        <v>56.926449999999988</v>
      </c>
      <c r="M661" s="254">
        <v>15.418502202643166</v>
      </c>
    </row>
    <row r="662" spans="1:13" ht="25.05" customHeight="1" x14ac:dyDescent="0.3">
      <c r="A662" s="253" t="s">
        <v>940</v>
      </c>
      <c r="B662" s="252" t="s">
        <v>947</v>
      </c>
      <c r="C662" s="252" t="s">
        <v>948</v>
      </c>
      <c r="D662" s="252" t="s">
        <v>62</v>
      </c>
      <c r="E662" s="252" t="s">
        <v>40</v>
      </c>
      <c r="F662" s="253" t="s">
        <v>307</v>
      </c>
      <c r="G662" s="253" t="s">
        <v>22</v>
      </c>
      <c r="H662" s="254">
        <v>93</v>
      </c>
      <c r="I662" s="254">
        <v>0</v>
      </c>
      <c r="J662" s="254">
        <v>15.126171000000001</v>
      </c>
      <c r="K662" s="254">
        <v>0</v>
      </c>
      <c r="L662" s="254">
        <v>15.126171000000001</v>
      </c>
      <c r="M662" s="254" t="s">
        <v>67</v>
      </c>
    </row>
    <row r="663" spans="1:13" ht="25.05" customHeight="1" x14ac:dyDescent="0.3">
      <c r="A663" s="253" t="s">
        <v>940</v>
      </c>
      <c r="B663" s="252" t="s">
        <v>949</v>
      </c>
      <c r="C663" s="252">
        <v>0</v>
      </c>
      <c r="D663" s="252">
        <v>0</v>
      </c>
      <c r="E663" s="252" t="s">
        <v>20</v>
      </c>
      <c r="F663" s="253" t="s">
        <v>307</v>
      </c>
      <c r="G663" s="253" t="s">
        <v>22</v>
      </c>
      <c r="H663" s="254">
        <v>10639</v>
      </c>
      <c r="I663" s="254">
        <v>9385</v>
      </c>
      <c r="J663" s="254">
        <v>1730.4014330000002</v>
      </c>
      <c r="K663" s="254">
        <v>1526.4420950000001</v>
      </c>
      <c r="L663" s="254">
        <v>203.95933800000012</v>
      </c>
      <c r="M663" s="254">
        <v>13.361747469366017</v>
      </c>
    </row>
    <row r="664" spans="1:13" ht="25.05" customHeight="1" x14ac:dyDescent="0.3">
      <c r="A664" s="253" t="s">
        <v>940</v>
      </c>
      <c r="B664" s="252" t="s">
        <v>950</v>
      </c>
      <c r="C664" s="252" t="s">
        <v>951</v>
      </c>
      <c r="D664" s="252" t="s">
        <v>62</v>
      </c>
      <c r="E664" s="252" t="s">
        <v>46</v>
      </c>
      <c r="F664" s="253" t="s">
        <v>307</v>
      </c>
      <c r="G664" s="253" t="s">
        <v>22</v>
      </c>
      <c r="H664" s="254">
        <v>642</v>
      </c>
      <c r="I664" s="254">
        <v>1052</v>
      </c>
      <c r="J664" s="254">
        <v>104.419374</v>
      </c>
      <c r="K664" s="254">
        <v>171.10464400000001</v>
      </c>
      <c r="L664" s="254">
        <v>-66.685270000000003</v>
      </c>
      <c r="M664" s="254">
        <v>-38.973384030418252</v>
      </c>
    </row>
    <row r="665" spans="1:13" ht="25.05" customHeight="1" x14ac:dyDescent="0.3">
      <c r="A665" s="253" t="s">
        <v>940</v>
      </c>
      <c r="B665" s="252" t="s">
        <v>952</v>
      </c>
      <c r="C665" s="252" t="s">
        <v>953</v>
      </c>
      <c r="D665" s="252" t="s">
        <v>62</v>
      </c>
      <c r="E665" s="252" t="s">
        <v>46</v>
      </c>
      <c r="F665" s="253" t="s">
        <v>307</v>
      </c>
      <c r="G665" s="253" t="s">
        <v>22</v>
      </c>
      <c r="H665" s="254">
        <v>777</v>
      </c>
      <c r="I665" s="254">
        <v>847</v>
      </c>
      <c r="J665" s="254">
        <v>126.37671900000001</v>
      </c>
      <c r="K665" s="254">
        <v>137.76200900000001</v>
      </c>
      <c r="L665" s="254">
        <v>-11.385289999999998</v>
      </c>
      <c r="M665" s="254">
        <v>-8.2644628099173527</v>
      </c>
    </row>
    <row r="666" spans="1:13" ht="25.05" customHeight="1" x14ac:dyDescent="0.3">
      <c r="A666" s="253" t="s">
        <v>940</v>
      </c>
      <c r="B666" s="252" t="s">
        <v>954</v>
      </c>
      <c r="C666" s="252" t="s">
        <v>955</v>
      </c>
      <c r="D666" s="252" t="s">
        <v>62</v>
      </c>
      <c r="E666" s="252" t="s">
        <v>46</v>
      </c>
      <c r="F666" s="253" t="s">
        <v>307</v>
      </c>
      <c r="G666" s="253" t="s">
        <v>22</v>
      </c>
      <c r="H666" s="254">
        <v>2380</v>
      </c>
      <c r="I666" s="254">
        <v>2314</v>
      </c>
      <c r="J666" s="254">
        <v>387.09986000000004</v>
      </c>
      <c r="K666" s="254">
        <v>376.36515800000001</v>
      </c>
      <c r="L666" s="254">
        <v>10.734702000000027</v>
      </c>
      <c r="M666" s="254">
        <v>2.8522039757994886</v>
      </c>
    </row>
    <row r="667" spans="1:13" ht="25.05" customHeight="1" x14ac:dyDescent="0.3">
      <c r="A667" s="253" t="s">
        <v>940</v>
      </c>
      <c r="B667" s="252" t="s">
        <v>956</v>
      </c>
      <c r="C667" s="252">
        <v>0</v>
      </c>
      <c r="D667" s="252">
        <v>0</v>
      </c>
      <c r="E667" s="252" t="s">
        <v>20</v>
      </c>
      <c r="F667" s="253" t="s">
        <v>307</v>
      </c>
      <c r="G667" s="253" t="s">
        <v>22</v>
      </c>
      <c r="H667" s="254">
        <v>2738</v>
      </c>
      <c r="I667" s="254">
        <v>3100</v>
      </c>
      <c r="J667" s="254">
        <v>445.32748600000002</v>
      </c>
      <c r="K667" s="254">
        <v>504.20570000000004</v>
      </c>
      <c r="L667" s="254">
        <v>-58.878214000000014</v>
      </c>
      <c r="M667" s="254">
        <v>-11.677419354838712</v>
      </c>
    </row>
    <row r="668" spans="1:13" ht="25.05" customHeight="1" x14ac:dyDescent="0.3">
      <c r="A668" s="253" t="s">
        <v>940</v>
      </c>
      <c r="B668" s="252" t="s">
        <v>165</v>
      </c>
      <c r="C668" s="252">
        <v>0</v>
      </c>
      <c r="D668" s="252">
        <v>0</v>
      </c>
      <c r="E668" s="252" t="s">
        <v>20</v>
      </c>
      <c r="F668" s="253" t="s">
        <v>307</v>
      </c>
      <c r="G668" s="253" t="s">
        <v>22</v>
      </c>
      <c r="H668" s="254">
        <v>491</v>
      </c>
      <c r="I668" s="254">
        <v>660</v>
      </c>
      <c r="J668" s="254">
        <v>79.859677000000005</v>
      </c>
      <c r="K668" s="254">
        <v>107.34702000000001</v>
      </c>
      <c r="L668" s="254">
        <v>-27.48734300000001</v>
      </c>
      <c r="M668" s="254">
        <v>-25.606060606060609</v>
      </c>
    </row>
    <row r="669" spans="1:13" ht="25.05" customHeight="1" x14ac:dyDescent="0.3">
      <c r="A669" s="253" t="s">
        <v>940</v>
      </c>
      <c r="B669" s="252" t="s">
        <v>957</v>
      </c>
      <c r="C669" s="252">
        <v>0</v>
      </c>
      <c r="D669" s="252">
        <v>0</v>
      </c>
      <c r="E669" s="252" t="s">
        <v>20</v>
      </c>
      <c r="F669" s="253" t="s">
        <v>307</v>
      </c>
      <c r="G669" s="253" t="s">
        <v>22</v>
      </c>
      <c r="H669" s="254">
        <v>5</v>
      </c>
      <c r="I669" s="254">
        <v>-322</v>
      </c>
      <c r="J669" s="254">
        <v>0.81323500000000004</v>
      </c>
      <c r="K669" s="254">
        <v>-52.372334000000002</v>
      </c>
      <c r="L669" s="254">
        <v>53.185569000000001</v>
      </c>
      <c r="M669" s="254">
        <v>-101.55279503105589</v>
      </c>
    </row>
    <row r="670" spans="1:13" ht="25.05" customHeight="1" x14ac:dyDescent="0.3">
      <c r="A670" s="267" t="s">
        <v>940</v>
      </c>
      <c r="B670" s="268" t="s">
        <v>101</v>
      </c>
      <c r="C670" s="268">
        <v>0</v>
      </c>
      <c r="D670" s="268">
        <v>0</v>
      </c>
      <c r="E670" s="268" t="s">
        <v>20</v>
      </c>
      <c r="F670" s="267" t="s">
        <v>307</v>
      </c>
      <c r="G670" s="267" t="s">
        <v>22</v>
      </c>
      <c r="H670" s="269">
        <v>17672</v>
      </c>
      <c r="I670" s="269">
        <v>17036</v>
      </c>
      <c r="J670" s="269">
        <v>2874.2977840000003</v>
      </c>
      <c r="K670" s="269">
        <v>2770.8542920000004</v>
      </c>
      <c r="L670" s="269">
        <v>103.44349199999988</v>
      </c>
      <c r="M670" s="269">
        <v>3.7332707208264799</v>
      </c>
    </row>
    <row r="671" spans="1:13" ht="25.05" customHeight="1" x14ac:dyDescent="0.3">
      <c r="A671" s="253" t="s">
        <v>958</v>
      </c>
      <c r="B671" s="252" t="s">
        <v>1766</v>
      </c>
      <c r="C671" s="252" t="s">
        <v>1767</v>
      </c>
      <c r="D671" s="252" t="s">
        <v>43</v>
      </c>
      <c r="E671" s="252" t="s">
        <v>46</v>
      </c>
      <c r="F671" s="253" t="s">
        <v>21</v>
      </c>
      <c r="G671" s="253" t="s">
        <v>22</v>
      </c>
      <c r="H671" s="254">
        <v>767.9</v>
      </c>
      <c r="I671" s="254">
        <v>952.7</v>
      </c>
      <c r="J671" s="254">
        <v>767.9</v>
      </c>
      <c r="K671" s="254">
        <v>952.7</v>
      </c>
      <c r="L671" s="254">
        <v>-184.80000000000007</v>
      </c>
      <c r="M671" s="254">
        <v>-19.397501836884651</v>
      </c>
    </row>
    <row r="672" spans="1:13" ht="25.05" customHeight="1" x14ac:dyDescent="0.3">
      <c r="A672" s="253" t="s">
        <v>958</v>
      </c>
      <c r="B672" s="252" t="s">
        <v>959</v>
      </c>
      <c r="C672" s="252" t="s">
        <v>960</v>
      </c>
      <c r="D672" s="252" t="s">
        <v>221</v>
      </c>
      <c r="E672" s="252" t="s">
        <v>46</v>
      </c>
      <c r="F672" s="253" t="s">
        <v>21</v>
      </c>
      <c r="G672" s="253" t="s">
        <v>22</v>
      </c>
      <c r="H672" s="254">
        <v>574.1</v>
      </c>
      <c r="I672" s="254">
        <v>571.4</v>
      </c>
      <c r="J672" s="254">
        <v>574.1</v>
      </c>
      <c r="K672" s="254">
        <v>571.4</v>
      </c>
      <c r="L672" s="254">
        <v>2.7000000000000455</v>
      </c>
      <c r="M672" s="254">
        <v>0.4725236261813171</v>
      </c>
    </row>
    <row r="673" spans="1:13" ht="25.05" customHeight="1" x14ac:dyDescent="0.3">
      <c r="A673" s="253" t="s">
        <v>958</v>
      </c>
      <c r="B673" s="252" t="s">
        <v>961</v>
      </c>
      <c r="C673" s="252" t="s">
        <v>962</v>
      </c>
      <c r="D673" s="252" t="s">
        <v>89</v>
      </c>
      <c r="E673" s="252" t="s">
        <v>46</v>
      </c>
      <c r="F673" s="253" t="s">
        <v>21</v>
      </c>
      <c r="G673" s="253" t="s">
        <v>22</v>
      </c>
      <c r="H673" s="254">
        <v>276.5</v>
      </c>
      <c r="I673" s="254">
        <v>384</v>
      </c>
      <c r="J673" s="254">
        <v>276.5</v>
      </c>
      <c r="K673" s="254">
        <v>384</v>
      </c>
      <c r="L673" s="254">
        <v>-107.5</v>
      </c>
      <c r="M673" s="254">
        <v>-27.994791666666668</v>
      </c>
    </row>
    <row r="674" spans="1:13" ht="25.05" customHeight="1" x14ac:dyDescent="0.3">
      <c r="A674" s="253" t="s">
        <v>958</v>
      </c>
      <c r="B674" s="252" t="s">
        <v>963</v>
      </c>
      <c r="C674" s="252" t="s">
        <v>964</v>
      </c>
      <c r="D674" s="252" t="s">
        <v>43</v>
      </c>
      <c r="E674" s="252" t="s">
        <v>46</v>
      </c>
      <c r="F674" s="253" t="s">
        <v>21</v>
      </c>
      <c r="G674" s="253" t="s">
        <v>22</v>
      </c>
      <c r="H674" s="254">
        <v>238.6</v>
      </c>
      <c r="I674" s="254">
        <v>246.9</v>
      </c>
      <c r="J674" s="254">
        <v>238.6</v>
      </c>
      <c r="K674" s="254">
        <v>246.9</v>
      </c>
      <c r="L674" s="254">
        <v>-8.3000000000000114</v>
      </c>
      <c r="M674" s="254">
        <v>-3.3616848926691012</v>
      </c>
    </row>
    <row r="675" spans="1:13" ht="25.05" customHeight="1" x14ac:dyDescent="0.3">
      <c r="A675" s="253" t="s">
        <v>958</v>
      </c>
      <c r="B675" s="252" t="s">
        <v>965</v>
      </c>
      <c r="C675" s="252" t="s">
        <v>966</v>
      </c>
      <c r="D675" s="252" t="s">
        <v>97</v>
      </c>
      <c r="E675" s="252" t="s">
        <v>46</v>
      </c>
      <c r="F675" s="253" t="s">
        <v>21</v>
      </c>
      <c r="G675" s="253" t="s">
        <v>22</v>
      </c>
      <c r="H675" s="254">
        <v>188.8</v>
      </c>
      <c r="I675" s="254">
        <v>208.5</v>
      </c>
      <c r="J675" s="254">
        <v>188.8</v>
      </c>
      <c r="K675" s="254">
        <v>208.5</v>
      </c>
      <c r="L675" s="254">
        <v>-19.699999999999989</v>
      </c>
      <c r="M675" s="254">
        <v>-9.4484412470023926</v>
      </c>
    </row>
    <row r="676" spans="1:13" ht="25.05" customHeight="1" x14ac:dyDescent="0.3">
      <c r="A676" s="253" t="s">
        <v>958</v>
      </c>
      <c r="B676" s="252" t="s">
        <v>23</v>
      </c>
      <c r="C676" s="252">
        <v>0</v>
      </c>
      <c r="D676" s="252">
        <v>0</v>
      </c>
      <c r="E676" s="252" t="s">
        <v>20</v>
      </c>
      <c r="F676" s="253" t="s">
        <v>21</v>
      </c>
      <c r="G676" s="253" t="s">
        <v>22</v>
      </c>
      <c r="H676" s="254">
        <v>13.7</v>
      </c>
      <c r="I676" s="254">
        <v>60.3</v>
      </c>
      <c r="J676" s="254">
        <v>13.7</v>
      </c>
      <c r="K676" s="254">
        <v>60.3</v>
      </c>
      <c r="L676" s="254">
        <v>-46.599999999999994</v>
      </c>
      <c r="M676" s="254">
        <v>-77.280265339966832</v>
      </c>
    </row>
    <row r="677" spans="1:13" ht="25.05" customHeight="1" x14ac:dyDescent="0.3">
      <c r="A677" s="253" t="s">
        <v>958</v>
      </c>
      <c r="B677" s="252" t="s">
        <v>967</v>
      </c>
      <c r="C677" s="252">
        <v>0</v>
      </c>
      <c r="D677" s="252">
        <v>0</v>
      </c>
      <c r="E677" s="252" t="s">
        <v>20</v>
      </c>
      <c r="F677" s="253" t="s">
        <v>21</v>
      </c>
      <c r="G677" s="253" t="s">
        <v>22</v>
      </c>
      <c r="H677" s="254">
        <v>2059.6</v>
      </c>
      <c r="I677" s="254">
        <v>2423.8000000000002</v>
      </c>
      <c r="J677" s="254">
        <v>2059.6</v>
      </c>
      <c r="K677" s="254">
        <v>2423.8000000000002</v>
      </c>
      <c r="L677" s="254">
        <v>-364.20000000000027</v>
      </c>
      <c r="M677" s="254">
        <v>-15.025992243584465</v>
      </c>
    </row>
    <row r="678" spans="1:13" ht="25.05" customHeight="1" x14ac:dyDescent="0.3">
      <c r="A678" s="253" t="s">
        <v>958</v>
      </c>
      <c r="B678" s="252" t="s">
        <v>968</v>
      </c>
      <c r="C678" s="252" t="s">
        <v>969</v>
      </c>
      <c r="D678" s="252" t="s">
        <v>89</v>
      </c>
      <c r="E678" s="252" t="s">
        <v>46</v>
      </c>
      <c r="F678" s="253" t="s">
        <v>21</v>
      </c>
      <c r="G678" s="253" t="s">
        <v>22</v>
      </c>
      <c r="H678" s="254">
        <v>98</v>
      </c>
      <c r="I678" s="254">
        <v>76.3</v>
      </c>
      <c r="J678" s="254">
        <v>98</v>
      </c>
      <c r="K678" s="254">
        <v>76.3</v>
      </c>
      <c r="L678" s="254">
        <v>21.700000000000003</v>
      </c>
      <c r="M678" s="254">
        <v>28.440366972477072</v>
      </c>
    </row>
    <row r="679" spans="1:13" ht="25.05" customHeight="1" x14ac:dyDescent="0.3">
      <c r="A679" s="253" t="s">
        <v>958</v>
      </c>
      <c r="B679" s="252" t="s">
        <v>970</v>
      </c>
      <c r="C679" s="252" t="s">
        <v>971</v>
      </c>
      <c r="D679" s="252" t="s">
        <v>89</v>
      </c>
      <c r="E679" s="252" t="s">
        <v>46</v>
      </c>
      <c r="F679" s="253" t="s">
        <v>21</v>
      </c>
      <c r="G679" s="253" t="s">
        <v>22</v>
      </c>
      <c r="H679" s="254">
        <v>68.400000000000006</v>
      </c>
      <c r="I679" s="254">
        <v>74.900000000000006</v>
      </c>
      <c r="J679" s="254">
        <v>68.400000000000006</v>
      </c>
      <c r="K679" s="254">
        <v>74.900000000000006</v>
      </c>
      <c r="L679" s="254">
        <v>-6.5</v>
      </c>
      <c r="M679" s="254">
        <v>-8.6782376502002663</v>
      </c>
    </row>
    <row r="680" spans="1:13" ht="25.05" customHeight="1" x14ac:dyDescent="0.3">
      <c r="A680" s="253" t="s">
        <v>958</v>
      </c>
      <c r="B680" s="252" t="s">
        <v>972</v>
      </c>
      <c r="C680" s="252" t="s">
        <v>962</v>
      </c>
      <c r="D680" s="252" t="s">
        <v>89</v>
      </c>
      <c r="E680" s="252" t="s">
        <v>46</v>
      </c>
      <c r="F680" s="253" t="s">
        <v>21</v>
      </c>
      <c r="G680" s="253" t="s">
        <v>22</v>
      </c>
      <c r="H680" s="254">
        <v>213</v>
      </c>
      <c r="I680" s="254">
        <v>189.9</v>
      </c>
      <c r="J680" s="254">
        <v>213</v>
      </c>
      <c r="K680" s="254">
        <v>189.9</v>
      </c>
      <c r="L680" s="254">
        <v>23.099999999999994</v>
      </c>
      <c r="M680" s="254">
        <v>12.164296998420218</v>
      </c>
    </row>
    <row r="681" spans="1:13" ht="25.05" customHeight="1" x14ac:dyDescent="0.3">
      <c r="A681" s="253" t="s">
        <v>958</v>
      </c>
      <c r="B681" s="252" t="s">
        <v>973</v>
      </c>
      <c r="C681" s="252">
        <v>0</v>
      </c>
      <c r="D681" s="252">
        <v>0</v>
      </c>
      <c r="E681" s="252" t="s">
        <v>20</v>
      </c>
      <c r="F681" s="253" t="s">
        <v>21</v>
      </c>
      <c r="G681" s="253" t="s">
        <v>22</v>
      </c>
      <c r="H681" s="254">
        <v>289.89999999999998</v>
      </c>
      <c r="I681" s="254">
        <v>352.5</v>
      </c>
      <c r="J681" s="254">
        <v>289.89999999999998</v>
      </c>
      <c r="K681" s="254">
        <v>352.5</v>
      </c>
      <c r="L681" s="254">
        <v>-62.600000000000023</v>
      </c>
      <c r="M681" s="254">
        <v>-17.758865248226957</v>
      </c>
    </row>
    <row r="682" spans="1:13" ht="25.05" customHeight="1" x14ac:dyDescent="0.3">
      <c r="A682" s="253" t="s">
        <v>958</v>
      </c>
      <c r="B682" s="252" t="s">
        <v>23</v>
      </c>
      <c r="C682" s="252">
        <v>0</v>
      </c>
      <c r="D682" s="252">
        <v>0</v>
      </c>
      <c r="E682" s="252" t="s">
        <v>20</v>
      </c>
      <c r="F682" s="253" t="s">
        <v>21</v>
      </c>
      <c r="G682" s="253" t="s">
        <v>22</v>
      </c>
      <c r="H682" s="254">
        <v>20.5</v>
      </c>
      <c r="I682" s="254">
        <v>45.1</v>
      </c>
      <c r="J682" s="254">
        <v>20.5</v>
      </c>
      <c r="K682" s="254">
        <v>45.1</v>
      </c>
      <c r="L682" s="254">
        <v>-24.6</v>
      </c>
      <c r="M682" s="254">
        <v>-54.54545454545454</v>
      </c>
    </row>
    <row r="683" spans="1:13" ht="25.05" customHeight="1" x14ac:dyDescent="0.3">
      <c r="A683" s="253" t="s">
        <v>958</v>
      </c>
      <c r="B683" s="252" t="s">
        <v>974</v>
      </c>
      <c r="C683" s="252">
        <v>0</v>
      </c>
      <c r="D683" s="252">
        <v>0</v>
      </c>
      <c r="E683" s="252" t="s">
        <v>20</v>
      </c>
      <c r="F683" s="253" t="s">
        <v>21</v>
      </c>
      <c r="G683" s="253" t="s">
        <v>22</v>
      </c>
      <c r="H683" s="254">
        <v>689.8</v>
      </c>
      <c r="I683" s="254">
        <v>738.7</v>
      </c>
      <c r="J683" s="254">
        <v>689.8</v>
      </c>
      <c r="K683" s="254">
        <v>738.7</v>
      </c>
      <c r="L683" s="254">
        <v>-48.900000000000091</v>
      </c>
      <c r="M683" s="254">
        <v>-6.6197373764721927</v>
      </c>
    </row>
    <row r="684" spans="1:13" ht="25.05" customHeight="1" x14ac:dyDescent="0.3">
      <c r="A684" s="267" t="s">
        <v>958</v>
      </c>
      <c r="B684" s="268" t="s">
        <v>38</v>
      </c>
      <c r="C684" s="268">
        <v>0</v>
      </c>
      <c r="D684" s="268">
        <v>0</v>
      </c>
      <c r="E684" s="268" t="s">
        <v>20</v>
      </c>
      <c r="F684" s="267" t="s">
        <v>21</v>
      </c>
      <c r="G684" s="267" t="s">
        <v>22</v>
      </c>
      <c r="H684" s="269">
        <v>3215.6</v>
      </c>
      <c r="I684" s="269">
        <v>3162.5</v>
      </c>
      <c r="J684" s="269">
        <v>3215.6</v>
      </c>
      <c r="K684" s="269">
        <v>3162.5</v>
      </c>
      <c r="L684" s="269">
        <v>53.099999999999909</v>
      </c>
      <c r="M684" s="269">
        <v>1.6790513833992067</v>
      </c>
    </row>
    <row r="685" spans="1:13" ht="25.05" customHeight="1" x14ac:dyDescent="0.3">
      <c r="A685" s="253" t="s">
        <v>975</v>
      </c>
      <c r="B685" s="252" t="s">
        <v>1674</v>
      </c>
      <c r="C685" s="252" t="s">
        <v>1769</v>
      </c>
      <c r="D685" s="252" t="s">
        <v>49</v>
      </c>
      <c r="E685" s="252" t="s">
        <v>40</v>
      </c>
      <c r="F685" s="253" t="s">
        <v>21</v>
      </c>
      <c r="G685" s="253" t="s">
        <v>22</v>
      </c>
      <c r="H685" s="254">
        <v>14380</v>
      </c>
      <c r="I685" s="254">
        <v>11084</v>
      </c>
      <c r="J685" s="254">
        <v>14380</v>
      </c>
      <c r="K685" s="254">
        <v>11084</v>
      </c>
      <c r="L685" s="254">
        <v>3296</v>
      </c>
      <c r="M685" s="254">
        <v>29.736557199566942</v>
      </c>
    </row>
    <row r="686" spans="1:13" ht="25.05" customHeight="1" x14ac:dyDescent="0.3">
      <c r="A686" s="253" t="s">
        <v>975</v>
      </c>
      <c r="B686" s="252" t="s">
        <v>182</v>
      </c>
      <c r="C686" s="252" t="s">
        <v>183</v>
      </c>
      <c r="D686" s="252" t="s">
        <v>49</v>
      </c>
      <c r="E686" s="252" t="s">
        <v>46</v>
      </c>
      <c r="F686" s="253" t="s">
        <v>21</v>
      </c>
      <c r="G686" s="253" t="s">
        <v>22</v>
      </c>
      <c r="H686" s="254">
        <v>725</v>
      </c>
      <c r="I686" s="254">
        <v>444</v>
      </c>
      <c r="J686" s="254">
        <v>725</v>
      </c>
      <c r="K686" s="254">
        <v>444</v>
      </c>
      <c r="L686" s="254">
        <v>281</v>
      </c>
      <c r="M686" s="254">
        <v>63.288288288288285</v>
      </c>
    </row>
    <row r="687" spans="1:13" ht="25.05" customHeight="1" x14ac:dyDescent="0.3">
      <c r="A687" s="253" t="s">
        <v>975</v>
      </c>
      <c r="B687" s="252" t="s">
        <v>976</v>
      </c>
      <c r="C687" s="252" t="s">
        <v>589</v>
      </c>
      <c r="D687" s="252" t="s">
        <v>49</v>
      </c>
      <c r="E687" s="252" t="s">
        <v>46</v>
      </c>
      <c r="F687" s="253" t="s">
        <v>21</v>
      </c>
      <c r="G687" s="253" t="s">
        <v>22</v>
      </c>
      <c r="H687" s="254">
        <v>580</v>
      </c>
      <c r="I687" s="254">
        <v>404</v>
      </c>
      <c r="J687" s="254">
        <v>580</v>
      </c>
      <c r="K687" s="254">
        <v>404</v>
      </c>
      <c r="L687" s="254">
        <v>176</v>
      </c>
      <c r="M687" s="254">
        <v>43.564356435643568</v>
      </c>
    </row>
    <row r="688" spans="1:13" ht="25.05" customHeight="1" x14ac:dyDescent="0.3">
      <c r="A688" s="253" t="s">
        <v>975</v>
      </c>
      <c r="B688" s="252" t="s">
        <v>977</v>
      </c>
      <c r="C688" s="252" t="s">
        <v>978</v>
      </c>
      <c r="D688" s="252" t="s">
        <v>49</v>
      </c>
      <c r="E688" s="252" t="s">
        <v>46</v>
      </c>
      <c r="F688" s="253" t="s">
        <v>21</v>
      </c>
      <c r="G688" s="253" t="s">
        <v>22</v>
      </c>
      <c r="H688" s="254">
        <v>145</v>
      </c>
      <c r="I688" s="254">
        <v>388</v>
      </c>
      <c r="J688" s="254">
        <v>145</v>
      </c>
      <c r="K688" s="254">
        <v>388</v>
      </c>
      <c r="L688" s="254">
        <v>-243</v>
      </c>
      <c r="M688" s="254">
        <v>-62.628865979381445</v>
      </c>
    </row>
    <row r="689" spans="1:13" ht="25.05" customHeight="1" x14ac:dyDescent="0.3">
      <c r="A689" s="253" t="s">
        <v>975</v>
      </c>
      <c r="B689" s="252" t="s">
        <v>198</v>
      </c>
      <c r="C689" s="252">
        <v>0</v>
      </c>
      <c r="D689" s="252" t="s">
        <v>49</v>
      </c>
      <c r="E689" s="252" t="s">
        <v>20</v>
      </c>
      <c r="F689" s="253" t="s">
        <v>21</v>
      </c>
      <c r="G689" s="253" t="s">
        <v>22</v>
      </c>
      <c r="H689" s="254">
        <v>15829</v>
      </c>
      <c r="I689" s="254">
        <v>12320</v>
      </c>
      <c r="J689" s="254">
        <v>15829</v>
      </c>
      <c r="K689" s="254">
        <v>12320</v>
      </c>
      <c r="L689" s="254">
        <v>3509</v>
      </c>
      <c r="M689" s="254">
        <v>28.482142857142854</v>
      </c>
    </row>
    <row r="690" spans="1:13" ht="25.05" customHeight="1" x14ac:dyDescent="0.3">
      <c r="A690" s="253" t="s">
        <v>975</v>
      </c>
      <c r="B690" s="252" t="s">
        <v>979</v>
      </c>
      <c r="C690" s="252" t="s">
        <v>980</v>
      </c>
      <c r="D690" s="252" t="s">
        <v>239</v>
      </c>
      <c r="E690" s="252" t="s">
        <v>239</v>
      </c>
      <c r="F690" s="253" t="s">
        <v>21</v>
      </c>
      <c r="G690" s="253" t="s">
        <v>22</v>
      </c>
      <c r="H690" s="254">
        <v>3939</v>
      </c>
      <c r="I690" s="254">
        <v>3737</v>
      </c>
      <c r="J690" s="254">
        <v>3939</v>
      </c>
      <c r="K690" s="254">
        <v>3737</v>
      </c>
      <c r="L690" s="254">
        <v>202</v>
      </c>
      <c r="M690" s="254">
        <v>5.4054054054054053</v>
      </c>
    </row>
    <row r="691" spans="1:13" ht="25.05" customHeight="1" x14ac:dyDescent="0.3">
      <c r="A691" s="253" t="s">
        <v>975</v>
      </c>
      <c r="B691" s="252" t="s">
        <v>981</v>
      </c>
      <c r="C691" s="252" t="s">
        <v>982</v>
      </c>
      <c r="D691" s="252" t="s">
        <v>239</v>
      </c>
      <c r="E691" s="252" t="s">
        <v>239</v>
      </c>
      <c r="F691" s="253" t="s">
        <v>21</v>
      </c>
      <c r="G691" s="253" t="s">
        <v>22</v>
      </c>
      <c r="H691" s="254">
        <v>1878</v>
      </c>
      <c r="I691" s="254">
        <v>2275</v>
      </c>
      <c r="J691" s="254">
        <v>1878</v>
      </c>
      <c r="K691" s="254">
        <v>2275</v>
      </c>
      <c r="L691" s="254">
        <v>-397</v>
      </c>
      <c r="M691" s="254">
        <v>-17.450549450549453</v>
      </c>
    </row>
    <row r="692" spans="1:13" ht="25.05" customHeight="1" x14ac:dyDescent="0.3">
      <c r="A692" s="253" t="s">
        <v>975</v>
      </c>
      <c r="B692" s="252" t="s">
        <v>983</v>
      </c>
      <c r="C692" s="252" t="s">
        <v>984</v>
      </c>
      <c r="D692" s="252" t="s">
        <v>239</v>
      </c>
      <c r="E692" s="252" t="s">
        <v>239</v>
      </c>
      <c r="F692" s="253" t="s">
        <v>21</v>
      </c>
      <c r="G692" s="253" t="s">
        <v>22</v>
      </c>
      <c r="H692" s="254">
        <v>1086</v>
      </c>
      <c r="I692" s="254">
        <v>926</v>
      </c>
      <c r="J692" s="254">
        <v>1086</v>
      </c>
      <c r="K692" s="254">
        <v>926</v>
      </c>
      <c r="L692" s="254">
        <v>160</v>
      </c>
      <c r="M692" s="254">
        <v>17.278617710583152</v>
      </c>
    </row>
    <row r="693" spans="1:13" ht="25.05" customHeight="1" x14ac:dyDescent="0.3">
      <c r="A693" s="253" t="s">
        <v>975</v>
      </c>
      <c r="B693" s="252" t="s">
        <v>985</v>
      </c>
      <c r="C693" s="252" t="s">
        <v>986</v>
      </c>
      <c r="D693" s="252" t="s">
        <v>239</v>
      </c>
      <c r="E693" s="252" t="s">
        <v>239</v>
      </c>
      <c r="F693" s="253" t="s">
        <v>21</v>
      </c>
      <c r="G693" s="253" t="s">
        <v>22</v>
      </c>
      <c r="H693" s="254">
        <v>797</v>
      </c>
      <c r="I693" s="254">
        <v>791</v>
      </c>
      <c r="J693" s="254">
        <v>797</v>
      </c>
      <c r="K693" s="254">
        <v>791</v>
      </c>
      <c r="L693" s="254">
        <v>6</v>
      </c>
      <c r="M693" s="254">
        <v>0.75853350189633373</v>
      </c>
    </row>
    <row r="694" spans="1:13" ht="25.05" customHeight="1" x14ac:dyDescent="0.3">
      <c r="A694" s="253" t="s">
        <v>975</v>
      </c>
      <c r="B694" s="252" t="s">
        <v>987</v>
      </c>
      <c r="C694" s="252" t="s">
        <v>988</v>
      </c>
      <c r="D694" s="252" t="s">
        <v>239</v>
      </c>
      <c r="E694" s="252" t="s">
        <v>239</v>
      </c>
      <c r="F694" s="253" t="s">
        <v>21</v>
      </c>
      <c r="G694" s="253" t="s">
        <v>22</v>
      </c>
      <c r="H694" s="254">
        <v>170</v>
      </c>
      <c r="I694" s="254">
        <v>238</v>
      </c>
      <c r="J694" s="254">
        <v>170</v>
      </c>
      <c r="K694" s="254">
        <v>238</v>
      </c>
      <c r="L694" s="254">
        <v>-68</v>
      </c>
      <c r="M694" s="254">
        <v>-28.571428571428569</v>
      </c>
    </row>
    <row r="695" spans="1:13" ht="25.05" customHeight="1" x14ac:dyDescent="0.3">
      <c r="A695" s="253" t="s">
        <v>975</v>
      </c>
      <c r="B695" s="252" t="s">
        <v>746</v>
      </c>
      <c r="C695" s="252">
        <v>0</v>
      </c>
      <c r="D695" s="252" t="s">
        <v>239</v>
      </c>
      <c r="E695" s="252" t="s">
        <v>239</v>
      </c>
      <c r="F695" s="253" t="s">
        <v>21</v>
      </c>
      <c r="G695" s="253" t="s">
        <v>22</v>
      </c>
      <c r="H695" s="254">
        <v>7870</v>
      </c>
      <c r="I695" s="254">
        <v>7967</v>
      </c>
      <c r="J695" s="254">
        <v>7870</v>
      </c>
      <c r="K695" s="254">
        <v>7967</v>
      </c>
      <c r="L695" s="254">
        <v>-97</v>
      </c>
      <c r="M695" s="254">
        <v>-1.2175222794025355</v>
      </c>
    </row>
    <row r="696" spans="1:13" ht="25.05" customHeight="1" x14ac:dyDescent="0.3">
      <c r="A696" s="253" t="s">
        <v>975</v>
      </c>
      <c r="B696" s="252" t="s">
        <v>989</v>
      </c>
      <c r="C696" s="252" t="s">
        <v>990</v>
      </c>
      <c r="D696" s="252" t="s">
        <v>62</v>
      </c>
      <c r="E696" s="252" t="s">
        <v>46</v>
      </c>
      <c r="F696" s="253" t="s">
        <v>21</v>
      </c>
      <c r="G696" s="253" t="s">
        <v>22</v>
      </c>
      <c r="H696" s="254">
        <v>1198</v>
      </c>
      <c r="I696" s="254">
        <v>1131</v>
      </c>
      <c r="J696" s="254">
        <v>1198</v>
      </c>
      <c r="K696" s="254">
        <v>1131</v>
      </c>
      <c r="L696" s="254">
        <v>67</v>
      </c>
      <c r="M696" s="254">
        <v>5.9239610963748897</v>
      </c>
    </row>
    <row r="697" spans="1:13" ht="25.05" customHeight="1" x14ac:dyDescent="0.3">
      <c r="A697" s="253" t="s">
        <v>975</v>
      </c>
      <c r="B697" s="252" t="s">
        <v>991</v>
      </c>
      <c r="C697" s="252" t="s">
        <v>992</v>
      </c>
      <c r="D697" s="252" t="s">
        <v>89</v>
      </c>
      <c r="E697" s="252" t="s">
        <v>46</v>
      </c>
      <c r="F697" s="253" t="s">
        <v>21</v>
      </c>
      <c r="G697" s="253" t="s">
        <v>22</v>
      </c>
      <c r="H697" s="254">
        <v>329</v>
      </c>
      <c r="I697" s="254">
        <v>662</v>
      </c>
      <c r="J697" s="254">
        <v>329</v>
      </c>
      <c r="K697" s="254">
        <v>662</v>
      </c>
      <c r="L697" s="254">
        <v>-333</v>
      </c>
      <c r="M697" s="254">
        <v>-50.302114803625372</v>
      </c>
    </row>
    <row r="698" spans="1:13" ht="25.05" customHeight="1" x14ac:dyDescent="0.3">
      <c r="A698" s="253" t="s">
        <v>975</v>
      </c>
      <c r="B698" s="252" t="s">
        <v>993</v>
      </c>
      <c r="C698" s="252" t="s">
        <v>994</v>
      </c>
      <c r="D698" s="252" t="s">
        <v>89</v>
      </c>
      <c r="E698" s="252" t="s">
        <v>46</v>
      </c>
      <c r="F698" s="253" t="s">
        <v>21</v>
      </c>
      <c r="G698" s="253" t="s">
        <v>22</v>
      </c>
      <c r="H698" s="254">
        <v>281</v>
      </c>
      <c r="I698" s="254">
        <v>0</v>
      </c>
      <c r="J698" s="254">
        <v>281</v>
      </c>
      <c r="K698" s="254">
        <v>0</v>
      </c>
      <c r="L698" s="254">
        <v>281</v>
      </c>
      <c r="M698" s="254">
        <v>100</v>
      </c>
    </row>
    <row r="699" spans="1:13" ht="25.05" customHeight="1" x14ac:dyDescent="0.3">
      <c r="A699" s="253" t="s">
        <v>975</v>
      </c>
      <c r="B699" s="252" t="s">
        <v>995</v>
      </c>
      <c r="C699" s="252" t="s">
        <v>996</v>
      </c>
      <c r="D699" s="252" t="s">
        <v>89</v>
      </c>
      <c r="E699" s="252" t="s">
        <v>46</v>
      </c>
      <c r="F699" s="253" t="s">
        <v>21</v>
      </c>
      <c r="G699" s="253" t="s">
        <v>22</v>
      </c>
      <c r="H699" s="254">
        <v>250</v>
      </c>
      <c r="I699" s="254">
        <v>273</v>
      </c>
      <c r="J699" s="254">
        <v>250</v>
      </c>
      <c r="K699" s="254">
        <v>273</v>
      </c>
      <c r="L699" s="254">
        <v>-23</v>
      </c>
      <c r="M699" s="254">
        <v>-8.4249084249084252</v>
      </c>
    </row>
    <row r="700" spans="1:13" ht="25.05" customHeight="1" x14ac:dyDescent="0.3">
      <c r="A700" s="253" t="s">
        <v>975</v>
      </c>
      <c r="B700" s="252" t="s">
        <v>997</v>
      </c>
      <c r="C700" s="252" t="s">
        <v>998</v>
      </c>
      <c r="D700" s="252" t="s">
        <v>89</v>
      </c>
      <c r="E700" s="252" t="s">
        <v>46</v>
      </c>
      <c r="F700" s="253" t="s">
        <v>21</v>
      </c>
      <c r="G700" s="253" t="s">
        <v>22</v>
      </c>
      <c r="H700" s="254">
        <v>214</v>
      </c>
      <c r="I700" s="254">
        <v>249</v>
      </c>
      <c r="J700" s="254">
        <v>214</v>
      </c>
      <c r="K700" s="254">
        <v>249</v>
      </c>
      <c r="L700" s="254">
        <v>-35</v>
      </c>
      <c r="M700" s="254">
        <v>-14.056224899598394</v>
      </c>
    </row>
    <row r="701" spans="1:13" ht="25.05" customHeight="1" x14ac:dyDescent="0.3">
      <c r="A701" s="253" t="s">
        <v>975</v>
      </c>
      <c r="B701" s="252" t="s">
        <v>999</v>
      </c>
      <c r="C701" s="252" t="s">
        <v>658</v>
      </c>
      <c r="D701" s="252" t="s">
        <v>89</v>
      </c>
      <c r="E701" s="252" t="s">
        <v>46</v>
      </c>
      <c r="F701" s="253" t="s">
        <v>21</v>
      </c>
      <c r="G701" s="253" t="s">
        <v>22</v>
      </c>
      <c r="H701" s="254">
        <v>211</v>
      </c>
      <c r="I701" s="254">
        <v>263</v>
      </c>
      <c r="J701" s="254">
        <v>211</v>
      </c>
      <c r="K701" s="254">
        <v>263</v>
      </c>
      <c r="L701" s="254">
        <v>-52</v>
      </c>
      <c r="M701" s="254">
        <v>-19.771863117870723</v>
      </c>
    </row>
    <row r="702" spans="1:13" ht="25.05" customHeight="1" x14ac:dyDescent="0.3">
      <c r="A702" s="253" t="s">
        <v>975</v>
      </c>
      <c r="B702" s="252" t="s">
        <v>1000</v>
      </c>
      <c r="C702" s="252" t="s">
        <v>1001</v>
      </c>
      <c r="D702" s="252" t="s">
        <v>89</v>
      </c>
      <c r="E702" s="252" t="s">
        <v>46</v>
      </c>
      <c r="F702" s="253" t="s">
        <v>21</v>
      </c>
      <c r="G702" s="253" t="s">
        <v>22</v>
      </c>
      <c r="H702" s="254">
        <v>152</v>
      </c>
      <c r="I702" s="254">
        <v>257</v>
      </c>
      <c r="J702" s="254">
        <v>152</v>
      </c>
      <c r="K702" s="254">
        <v>257</v>
      </c>
      <c r="L702" s="254">
        <v>-105</v>
      </c>
      <c r="M702" s="254">
        <v>-40.856031128404666</v>
      </c>
    </row>
    <row r="703" spans="1:13" ht="25.05" customHeight="1" x14ac:dyDescent="0.3">
      <c r="A703" s="253" t="s">
        <v>975</v>
      </c>
      <c r="B703" s="252" t="s">
        <v>1002</v>
      </c>
      <c r="C703" s="252" t="s">
        <v>1003</v>
      </c>
      <c r="D703" s="252" t="s">
        <v>89</v>
      </c>
      <c r="E703" s="252" t="s">
        <v>46</v>
      </c>
      <c r="F703" s="253" t="s">
        <v>21</v>
      </c>
      <c r="G703" s="253" t="s">
        <v>22</v>
      </c>
      <c r="H703" s="254">
        <v>130</v>
      </c>
      <c r="I703" s="254">
        <v>0</v>
      </c>
      <c r="J703" s="254">
        <v>130</v>
      </c>
      <c r="K703" s="254">
        <v>0</v>
      </c>
      <c r="L703" s="254">
        <v>130</v>
      </c>
      <c r="M703" s="254">
        <v>100</v>
      </c>
    </row>
    <row r="704" spans="1:13" ht="25.05" customHeight="1" x14ac:dyDescent="0.3">
      <c r="A704" s="253" t="s">
        <v>975</v>
      </c>
      <c r="B704" s="252" t="s">
        <v>1004</v>
      </c>
      <c r="C704" s="252">
        <v>0</v>
      </c>
      <c r="D704" s="252">
        <v>0</v>
      </c>
      <c r="E704" s="252" t="s">
        <v>20</v>
      </c>
      <c r="F704" s="253" t="s">
        <v>21</v>
      </c>
      <c r="G704" s="253" t="s">
        <v>22</v>
      </c>
      <c r="H704" s="254">
        <v>2765</v>
      </c>
      <c r="I704" s="254">
        <v>257</v>
      </c>
      <c r="J704" s="254">
        <v>2765</v>
      </c>
      <c r="K704" s="254">
        <v>257</v>
      </c>
      <c r="L704" s="254">
        <v>2508</v>
      </c>
      <c r="M704" s="254">
        <v>975.87548638132307</v>
      </c>
    </row>
    <row r="705" spans="1:13" ht="25.05" customHeight="1" x14ac:dyDescent="0.3">
      <c r="A705" s="253" t="s">
        <v>975</v>
      </c>
      <c r="B705" s="252" t="s">
        <v>1005</v>
      </c>
      <c r="C705" s="252" t="s">
        <v>849</v>
      </c>
      <c r="D705" s="252" t="s">
        <v>43</v>
      </c>
      <c r="E705" s="252" t="s">
        <v>40</v>
      </c>
      <c r="F705" s="253" t="s">
        <v>21</v>
      </c>
      <c r="G705" s="253" t="s">
        <v>22</v>
      </c>
      <c r="H705" s="254">
        <v>838</v>
      </c>
      <c r="I705" s="254">
        <v>830</v>
      </c>
      <c r="J705" s="254">
        <v>838</v>
      </c>
      <c r="K705" s="254">
        <v>830</v>
      </c>
      <c r="L705" s="254">
        <v>8</v>
      </c>
      <c r="M705" s="254">
        <v>0.96385542168674709</v>
      </c>
    </row>
    <row r="706" spans="1:13" ht="25.05" customHeight="1" x14ac:dyDescent="0.3">
      <c r="A706" s="253" t="s">
        <v>975</v>
      </c>
      <c r="B706" s="252" t="s">
        <v>1006</v>
      </c>
      <c r="C706" s="252" t="s">
        <v>1007</v>
      </c>
      <c r="D706" s="252" t="s">
        <v>43</v>
      </c>
      <c r="E706" s="252" t="s">
        <v>40</v>
      </c>
      <c r="F706" s="253" t="s">
        <v>21</v>
      </c>
      <c r="G706" s="253" t="s">
        <v>22</v>
      </c>
      <c r="H706" s="254">
        <v>330</v>
      </c>
      <c r="I706" s="254">
        <v>411</v>
      </c>
      <c r="J706" s="254">
        <v>330</v>
      </c>
      <c r="K706" s="254">
        <v>411</v>
      </c>
      <c r="L706" s="254">
        <v>-81</v>
      </c>
      <c r="M706" s="254">
        <v>-19.708029197080293</v>
      </c>
    </row>
    <row r="707" spans="1:13" ht="25.05" customHeight="1" x14ac:dyDescent="0.3">
      <c r="A707" s="253" t="s">
        <v>975</v>
      </c>
      <c r="B707" s="252" t="s">
        <v>626</v>
      </c>
      <c r="C707" s="252">
        <v>0</v>
      </c>
      <c r="D707" s="252" t="s">
        <v>43</v>
      </c>
      <c r="E707" s="252" t="s">
        <v>20</v>
      </c>
      <c r="F707" s="253" t="s">
        <v>21</v>
      </c>
      <c r="G707" s="253" t="s">
        <v>22</v>
      </c>
      <c r="H707" s="254">
        <v>1168</v>
      </c>
      <c r="I707" s="254">
        <v>411</v>
      </c>
      <c r="J707" s="254">
        <v>1168</v>
      </c>
      <c r="K707" s="254">
        <v>411</v>
      </c>
      <c r="L707" s="254">
        <v>757</v>
      </c>
      <c r="M707" s="254">
        <v>184.18491484184915</v>
      </c>
    </row>
    <row r="708" spans="1:13" ht="25.05" customHeight="1" x14ac:dyDescent="0.3">
      <c r="A708" s="253" t="s">
        <v>975</v>
      </c>
      <c r="B708" s="252" t="s">
        <v>1008</v>
      </c>
      <c r="C708" s="252" t="s">
        <v>1009</v>
      </c>
      <c r="D708" s="252" t="s">
        <v>62</v>
      </c>
      <c r="E708" s="252" t="s">
        <v>46</v>
      </c>
      <c r="F708" s="253" t="s">
        <v>21</v>
      </c>
      <c r="G708" s="253" t="s">
        <v>22</v>
      </c>
      <c r="H708" s="254">
        <v>328</v>
      </c>
      <c r="I708" s="254">
        <v>306</v>
      </c>
      <c r="J708" s="254">
        <v>328</v>
      </c>
      <c r="K708" s="254">
        <v>306</v>
      </c>
      <c r="L708" s="254">
        <v>22</v>
      </c>
      <c r="M708" s="254">
        <v>7.18954248366013</v>
      </c>
    </row>
    <row r="709" spans="1:13" ht="25.05" customHeight="1" x14ac:dyDescent="0.3">
      <c r="A709" s="253" t="s">
        <v>975</v>
      </c>
      <c r="B709" s="252" t="s">
        <v>633</v>
      </c>
      <c r="C709" s="252">
        <v>0</v>
      </c>
      <c r="D709" s="252" t="s">
        <v>62</v>
      </c>
      <c r="E709" s="252" t="s">
        <v>20</v>
      </c>
      <c r="F709" s="253" t="s">
        <v>21</v>
      </c>
      <c r="G709" s="253" t="s">
        <v>22</v>
      </c>
      <c r="H709" s="254">
        <v>328</v>
      </c>
      <c r="I709" s="254">
        <v>306</v>
      </c>
      <c r="J709" s="254">
        <v>328</v>
      </c>
      <c r="K709" s="254">
        <v>306</v>
      </c>
      <c r="L709" s="254">
        <v>22</v>
      </c>
      <c r="M709" s="254">
        <v>7.18954248366013</v>
      </c>
    </row>
    <row r="710" spans="1:13" ht="25.05" customHeight="1" x14ac:dyDescent="0.3">
      <c r="A710" s="253" t="s">
        <v>975</v>
      </c>
      <c r="B710" s="252" t="s">
        <v>1010</v>
      </c>
      <c r="C710" s="252" t="s">
        <v>1011</v>
      </c>
      <c r="D710" s="252" t="s">
        <v>89</v>
      </c>
      <c r="E710" s="252" t="s">
        <v>46</v>
      </c>
      <c r="F710" s="253" t="s">
        <v>21</v>
      </c>
      <c r="G710" s="253" t="s">
        <v>22</v>
      </c>
      <c r="H710" s="254">
        <v>857</v>
      </c>
      <c r="I710" s="254">
        <v>975</v>
      </c>
      <c r="J710" s="254">
        <v>857</v>
      </c>
      <c r="K710" s="254">
        <v>975</v>
      </c>
      <c r="L710" s="254">
        <v>-118</v>
      </c>
      <c r="M710" s="254">
        <v>-12.102564102564102</v>
      </c>
    </row>
    <row r="711" spans="1:13" ht="25.05" customHeight="1" x14ac:dyDescent="0.3">
      <c r="A711" s="253" t="s">
        <v>975</v>
      </c>
      <c r="B711" s="252" t="s">
        <v>1012</v>
      </c>
      <c r="C711" s="252" t="s">
        <v>1013</v>
      </c>
      <c r="D711" s="252" t="s">
        <v>89</v>
      </c>
      <c r="E711" s="252" t="s">
        <v>46</v>
      </c>
      <c r="F711" s="253" t="s">
        <v>21</v>
      </c>
      <c r="G711" s="253" t="s">
        <v>22</v>
      </c>
      <c r="H711" s="254">
        <v>167</v>
      </c>
      <c r="I711" s="254">
        <v>370</v>
      </c>
      <c r="J711" s="254">
        <v>167</v>
      </c>
      <c r="K711" s="254">
        <v>370</v>
      </c>
      <c r="L711" s="254">
        <v>-203</v>
      </c>
      <c r="M711" s="254">
        <v>-54.864864864864856</v>
      </c>
    </row>
    <row r="712" spans="1:13" ht="25.05" customHeight="1" x14ac:dyDescent="0.3">
      <c r="A712" s="253" t="s">
        <v>975</v>
      </c>
      <c r="B712" s="252" t="s">
        <v>1014</v>
      </c>
      <c r="C712" s="252">
        <v>0</v>
      </c>
      <c r="D712" s="252" t="s">
        <v>89</v>
      </c>
      <c r="E712" s="252" t="s">
        <v>20</v>
      </c>
      <c r="F712" s="253" t="s">
        <v>21</v>
      </c>
      <c r="G712" s="253" t="s">
        <v>22</v>
      </c>
      <c r="H712" s="254">
        <v>1024</v>
      </c>
      <c r="I712" s="254">
        <v>1345</v>
      </c>
      <c r="J712" s="254">
        <v>1024</v>
      </c>
      <c r="K712" s="254">
        <v>1345</v>
      </c>
      <c r="L712" s="254">
        <v>-321</v>
      </c>
      <c r="M712" s="254">
        <v>-23.866171003717472</v>
      </c>
    </row>
    <row r="713" spans="1:13" ht="25.05" customHeight="1" x14ac:dyDescent="0.3">
      <c r="A713" s="253" t="s">
        <v>975</v>
      </c>
      <c r="B713" s="252" t="s">
        <v>1015</v>
      </c>
      <c r="C713" s="252" t="s">
        <v>339</v>
      </c>
      <c r="D713" s="252" t="s">
        <v>129</v>
      </c>
      <c r="E713" s="252" t="s">
        <v>46</v>
      </c>
      <c r="F713" s="253" t="s">
        <v>21</v>
      </c>
      <c r="G713" s="253" t="s">
        <v>22</v>
      </c>
      <c r="H713" s="254">
        <v>482</v>
      </c>
      <c r="I713" s="254">
        <v>590</v>
      </c>
      <c r="J713" s="254">
        <v>482</v>
      </c>
      <c r="K713" s="254">
        <v>590</v>
      </c>
      <c r="L713" s="254">
        <v>-108</v>
      </c>
      <c r="M713" s="254">
        <v>-18.305084745762713</v>
      </c>
    </row>
    <row r="714" spans="1:13" ht="25.05" customHeight="1" x14ac:dyDescent="0.3">
      <c r="A714" s="253" t="s">
        <v>975</v>
      </c>
      <c r="B714" s="252" t="s">
        <v>1016</v>
      </c>
      <c r="C714" s="252" t="s">
        <v>1017</v>
      </c>
      <c r="D714" s="252" t="s">
        <v>129</v>
      </c>
      <c r="E714" s="252" t="s">
        <v>46</v>
      </c>
      <c r="F714" s="253" t="s">
        <v>21</v>
      </c>
      <c r="G714" s="253" t="s">
        <v>22</v>
      </c>
      <c r="H714" s="254">
        <v>183</v>
      </c>
      <c r="I714" s="254">
        <v>285</v>
      </c>
      <c r="J714" s="254">
        <v>183</v>
      </c>
      <c r="K714" s="254">
        <v>285</v>
      </c>
      <c r="L714" s="254">
        <v>-102</v>
      </c>
      <c r="M714" s="254">
        <v>-35.789473684210527</v>
      </c>
    </row>
    <row r="715" spans="1:13" ht="25.05" customHeight="1" x14ac:dyDescent="0.3">
      <c r="A715" s="253" t="s">
        <v>975</v>
      </c>
      <c r="B715" s="252" t="s">
        <v>1018</v>
      </c>
      <c r="C715" s="252" t="s">
        <v>1019</v>
      </c>
      <c r="D715" s="252" t="s">
        <v>129</v>
      </c>
      <c r="E715" s="252" t="s">
        <v>46</v>
      </c>
      <c r="F715" s="253" t="s">
        <v>21</v>
      </c>
      <c r="G715" s="253" t="s">
        <v>22</v>
      </c>
      <c r="H715" s="254">
        <v>453</v>
      </c>
      <c r="I715" s="254">
        <v>391</v>
      </c>
      <c r="J715" s="254">
        <v>453</v>
      </c>
      <c r="K715" s="254">
        <v>391</v>
      </c>
      <c r="L715" s="254">
        <v>62</v>
      </c>
      <c r="M715" s="254">
        <v>15.856777493606138</v>
      </c>
    </row>
    <row r="716" spans="1:13" ht="25.05" customHeight="1" x14ac:dyDescent="0.3">
      <c r="A716" s="253" t="s">
        <v>975</v>
      </c>
      <c r="B716" s="252" t="s">
        <v>329</v>
      </c>
      <c r="C716" s="252" t="s">
        <v>330</v>
      </c>
      <c r="D716" s="252" t="s">
        <v>129</v>
      </c>
      <c r="E716" s="252" t="s">
        <v>46</v>
      </c>
      <c r="F716" s="253" t="s">
        <v>21</v>
      </c>
      <c r="G716" s="253" t="s">
        <v>22</v>
      </c>
      <c r="H716" s="254">
        <v>501</v>
      </c>
      <c r="I716" s="254">
        <v>419</v>
      </c>
      <c r="J716" s="254">
        <v>501</v>
      </c>
      <c r="K716" s="254">
        <v>419</v>
      </c>
      <c r="L716" s="254">
        <v>82</v>
      </c>
      <c r="M716" s="254">
        <v>19.570405727923628</v>
      </c>
    </row>
    <row r="717" spans="1:13" ht="25.05" customHeight="1" x14ac:dyDescent="0.3">
      <c r="A717" s="253" t="s">
        <v>975</v>
      </c>
      <c r="B717" s="252" t="s">
        <v>1020</v>
      </c>
      <c r="C717" s="252">
        <v>0</v>
      </c>
      <c r="D717" s="252" t="s">
        <v>129</v>
      </c>
      <c r="E717" s="252" t="s">
        <v>20</v>
      </c>
      <c r="F717" s="253" t="s">
        <v>21</v>
      </c>
      <c r="G717" s="253" t="s">
        <v>22</v>
      </c>
      <c r="H717" s="254">
        <v>1619</v>
      </c>
      <c r="I717" s="254">
        <v>1685</v>
      </c>
      <c r="J717" s="254">
        <v>1619</v>
      </c>
      <c r="K717" s="254">
        <v>1685</v>
      </c>
      <c r="L717" s="254">
        <v>-66</v>
      </c>
      <c r="M717" s="254">
        <v>-3.9169139465875373</v>
      </c>
    </row>
    <row r="718" spans="1:13" ht="25.05" customHeight="1" x14ac:dyDescent="0.3">
      <c r="A718" s="253" t="s">
        <v>975</v>
      </c>
      <c r="B718" s="252" t="s">
        <v>1021</v>
      </c>
      <c r="C718" s="252" t="s">
        <v>1022</v>
      </c>
      <c r="D718" s="252" t="s">
        <v>201</v>
      </c>
      <c r="E718" s="252" t="s">
        <v>46</v>
      </c>
      <c r="F718" s="253" t="s">
        <v>21</v>
      </c>
      <c r="G718" s="253" t="s">
        <v>22</v>
      </c>
      <c r="H718" s="254">
        <v>3306</v>
      </c>
      <c r="I718" s="254">
        <v>3482</v>
      </c>
      <c r="J718" s="254">
        <v>3306</v>
      </c>
      <c r="K718" s="254">
        <v>3482</v>
      </c>
      <c r="L718" s="254">
        <v>-176</v>
      </c>
      <c r="M718" s="254">
        <v>-5.0545663411832278</v>
      </c>
    </row>
    <row r="719" spans="1:13" ht="25.05" customHeight="1" x14ac:dyDescent="0.3">
      <c r="A719" s="253" t="s">
        <v>975</v>
      </c>
      <c r="B719" s="252" t="s">
        <v>1023</v>
      </c>
      <c r="C719" s="252" t="s">
        <v>1024</v>
      </c>
      <c r="D719" s="252" t="s">
        <v>201</v>
      </c>
      <c r="E719" s="252" t="s">
        <v>46</v>
      </c>
      <c r="F719" s="253" t="s">
        <v>21</v>
      </c>
      <c r="G719" s="253" t="s">
        <v>22</v>
      </c>
      <c r="H719" s="254">
        <v>1971</v>
      </c>
      <c r="I719" s="254">
        <v>2041</v>
      </c>
      <c r="J719" s="254">
        <v>1971</v>
      </c>
      <c r="K719" s="254">
        <v>2041</v>
      </c>
      <c r="L719" s="254">
        <v>-70</v>
      </c>
      <c r="M719" s="254">
        <v>-3.4296913277805001</v>
      </c>
    </row>
    <row r="720" spans="1:13" ht="25.05" customHeight="1" x14ac:dyDescent="0.3">
      <c r="A720" s="253" t="s">
        <v>975</v>
      </c>
      <c r="B720" s="252" t="s">
        <v>1025</v>
      </c>
      <c r="C720" s="252">
        <v>0</v>
      </c>
      <c r="D720" s="252" t="s">
        <v>201</v>
      </c>
      <c r="E720" s="252" t="s">
        <v>20</v>
      </c>
      <c r="F720" s="253" t="s">
        <v>21</v>
      </c>
      <c r="G720" s="253" t="s">
        <v>22</v>
      </c>
      <c r="H720" s="254">
        <v>5277</v>
      </c>
      <c r="I720" s="254">
        <v>5523</v>
      </c>
      <c r="J720" s="254">
        <v>5277</v>
      </c>
      <c r="K720" s="254">
        <v>5523</v>
      </c>
      <c r="L720" s="254">
        <v>-246</v>
      </c>
      <c r="M720" s="254">
        <v>-4.4541010320478005</v>
      </c>
    </row>
    <row r="721" spans="1:13" ht="25.05" customHeight="1" x14ac:dyDescent="0.3">
      <c r="A721" s="253" t="s">
        <v>975</v>
      </c>
      <c r="B721" s="252" t="s">
        <v>1026</v>
      </c>
      <c r="C721" s="252" t="s">
        <v>1027</v>
      </c>
      <c r="D721" s="252" t="s">
        <v>84</v>
      </c>
      <c r="E721" s="252" t="s">
        <v>46</v>
      </c>
      <c r="F721" s="253" t="s">
        <v>21</v>
      </c>
      <c r="G721" s="253" t="s">
        <v>22</v>
      </c>
      <c r="H721" s="254">
        <v>680</v>
      </c>
      <c r="I721" s="254">
        <v>787</v>
      </c>
      <c r="J721" s="254">
        <v>680</v>
      </c>
      <c r="K721" s="254">
        <v>787</v>
      </c>
      <c r="L721" s="254">
        <v>-107</v>
      </c>
      <c r="M721" s="254">
        <v>-13.595933926302415</v>
      </c>
    </row>
    <row r="722" spans="1:13" ht="25.05" customHeight="1" x14ac:dyDescent="0.3">
      <c r="A722" s="253" t="s">
        <v>975</v>
      </c>
      <c r="B722" s="252" t="s">
        <v>1028</v>
      </c>
      <c r="C722" s="252" t="s">
        <v>1029</v>
      </c>
      <c r="D722" s="252" t="s">
        <v>84</v>
      </c>
      <c r="E722" s="252" t="s">
        <v>46</v>
      </c>
      <c r="F722" s="253" t="s">
        <v>21</v>
      </c>
      <c r="G722" s="253" t="s">
        <v>22</v>
      </c>
      <c r="H722" s="254">
        <v>237</v>
      </c>
      <c r="I722" s="254">
        <v>879</v>
      </c>
      <c r="J722" s="254">
        <v>237</v>
      </c>
      <c r="K722" s="254">
        <v>879</v>
      </c>
      <c r="L722" s="254">
        <v>-642</v>
      </c>
      <c r="M722" s="254">
        <v>-73.037542662116039</v>
      </c>
    </row>
    <row r="723" spans="1:13" ht="25.05" customHeight="1" x14ac:dyDescent="0.3">
      <c r="A723" s="253" t="s">
        <v>975</v>
      </c>
      <c r="B723" s="252" t="s">
        <v>86</v>
      </c>
      <c r="C723" s="252">
        <v>0</v>
      </c>
      <c r="D723" s="252" t="s">
        <v>84</v>
      </c>
      <c r="E723" s="252" t="s">
        <v>20</v>
      </c>
      <c r="F723" s="253" t="s">
        <v>21</v>
      </c>
      <c r="G723" s="253" t="s">
        <v>22</v>
      </c>
      <c r="H723" s="254">
        <v>917</v>
      </c>
      <c r="I723" s="254">
        <v>879</v>
      </c>
      <c r="J723" s="254">
        <v>917</v>
      </c>
      <c r="K723" s="254">
        <v>879</v>
      </c>
      <c r="L723" s="254">
        <v>38</v>
      </c>
      <c r="M723" s="254">
        <v>4.3230944254835046</v>
      </c>
    </row>
    <row r="724" spans="1:13" ht="25.05" customHeight="1" x14ac:dyDescent="0.3">
      <c r="A724" s="253" t="s">
        <v>975</v>
      </c>
      <c r="B724" s="252" t="s">
        <v>1030</v>
      </c>
      <c r="C724" s="252" t="s">
        <v>1031</v>
      </c>
      <c r="D724" s="252" t="s">
        <v>221</v>
      </c>
      <c r="E724" s="252" t="s">
        <v>46</v>
      </c>
      <c r="F724" s="253" t="s">
        <v>21</v>
      </c>
      <c r="G724" s="253" t="s">
        <v>22</v>
      </c>
      <c r="H724" s="254">
        <v>462</v>
      </c>
      <c r="I724" s="254">
        <v>698</v>
      </c>
      <c r="J724" s="254">
        <v>462</v>
      </c>
      <c r="K724" s="254">
        <v>698</v>
      </c>
      <c r="L724" s="254">
        <v>-236</v>
      </c>
      <c r="M724" s="254">
        <v>-33.810888252148999</v>
      </c>
    </row>
    <row r="725" spans="1:13" ht="25.05" customHeight="1" x14ac:dyDescent="0.3">
      <c r="A725" s="253" t="s">
        <v>975</v>
      </c>
      <c r="B725" s="252" t="s">
        <v>1032</v>
      </c>
      <c r="C725" s="252" t="s">
        <v>1033</v>
      </c>
      <c r="D725" s="252" t="s">
        <v>129</v>
      </c>
      <c r="E725" s="252" t="s">
        <v>46</v>
      </c>
      <c r="F725" s="253" t="s">
        <v>21</v>
      </c>
      <c r="G725" s="253" t="s">
        <v>22</v>
      </c>
      <c r="H725" s="254">
        <v>386</v>
      </c>
      <c r="I725" s="254">
        <v>442</v>
      </c>
      <c r="J725" s="254">
        <v>386</v>
      </c>
      <c r="K725" s="254">
        <v>442</v>
      </c>
      <c r="L725" s="254">
        <v>-56</v>
      </c>
      <c r="M725" s="254">
        <v>-12.669683257918551</v>
      </c>
    </row>
    <row r="726" spans="1:13" ht="25.05" customHeight="1" x14ac:dyDescent="0.3">
      <c r="A726" s="253" t="s">
        <v>975</v>
      </c>
      <c r="B726" s="252" t="s">
        <v>1034</v>
      </c>
      <c r="C726" s="252" t="s">
        <v>1035</v>
      </c>
      <c r="D726" s="252" t="s">
        <v>43</v>
      </c>
      <c r="E726" s="252" t="s">
        <v>46</v>
      </c>
      <c r="F726" s="253" t="s">
        <v>21</v>
      </c>
      <c r="G726" s="253" t="s">
        <v>22</v>
      </c>
      <c r="H726" s="254">
        <v>258</v>
      </c>
      <c r="I726" s="254">
        <v>288</v>
      </c>
      <c r="J726" s="254">
        <v>258</v>
      </c>
      <c r="K726" s="254">
        <v>288</v>
      </c>
      <c r="L726" s="254">
        <v>-30</v>
      </c>
      <c r="M726" s="254">
        <v>-10.416666666666668</v>
      </c>
    </row>
    <row r="727" spans="1:13" ht="25.05" customHeight="1" x14ac:dyDescent="0.3">
      <c r="A727" s="253" t="s">
        <v>975</v>
      </c>
      <c r="B727" s="252" t="s">
        <v>1036</v>
      </c>
      <c r="C727" s="252" t="s">
        <v>1037</v>
      </c>
      <c r="D727" s="252" t="s">
        <v>221</v>
      </c>
      <c r="E727" s="252" t="s">
        <v>46</v>
      </c>
      <c r="F727" s="253" t="s">
        <v>21</v>
      </c>
      <c r="G727" s="253" t="s">
        <v>22</v>
      </c>
      <c r="H727" s="254">
        <v>218</v>
      </c>
      <c r="I727" s="254">
        <v>293</v>
      </c>
      <c r="J727" s="254">
        <v>218</v>
      </c>
      <c r="K727" s="254">
        <v>293</v>
      </c>
      <c r="L727" s="254">
        <v>-75</v>
      </c>
      <c r="M727" s="254">
        <v>-25.597269624573375</v>
      </c>
    </row>
    <row r="728" spans="1:13" ht="25.05" customHeight="1" x14ac:dyDescent="0.3">
      <c r="A728" s="253" t="s">
        <v>975</v>
      </c>
      <c r="B728" s="252" t="s">
        <v>1038</v>
      </c>
      <c r="C728" s="252" t="s">
        <v>1039</v>
      </c>
      <c r="D728" s="252" t="s">
        <v>81</v>
      </c>
      <c r="E728" s="252" t="s">
        <v>40</v>
      </c>
      <c r="F728" s="253" t="s">
        <v>21</v>
      </c>
      <c r="G728" s="253" t="s">
        <v>22</v>
      </c>
      <c r="H728" s="254">
        <v>193</v>
      </c>
      <c r="I728" s="254">
        <v>241</v>
      </c>
      <c r="J728" s="254">
        <v>193</v>
      </c>
      <c r="K728" s="254">
        <v>241</v>
      </c>
      <c r="L728" s="254">
        <v>-48</v>
      </c>
      <c r="M728" s="254">
        <v>-19.91701244813278</v>
      </c>
    </row>
    <row r="729" spans="1:13" ht="25.05" customHeight="1" x14ac:dyDescent="0.3">
      <c r="A729" s="253" t="s">
        <v>975</v>
      </c>
      <c r="B729" s="252" t="s">
        <v>1040</v>
      </c>
      <c r="C729" s="252">
        <v>0</v>
      </c>
      <c r="D729" s="252">
        <v>0</v>
      </c>
      <c r="E729" s="252" t="s">
        <v>20</v>
      </c>
      <c r="F729" s="253" t="s">
        <v>21</v>
      </c>
      <c r="G729" s="253" t="s">
        <v>22</v>
      </c>
      <c r="H729" s="254">
        <v>1517</v>
      </c>
      <c r="I729" s="254">
        <v>1962</v>
      </c>
      <c r="J729" s="254">
        <v>1517</v>
      </c>
      <c r="K729" s="254">
        <v>1962</v>
      </c>
      <c r="L729" s="254">
        <v>-445</v>
      </c>
      <c r="M729" s="254">
        <v>-22.680937818552497</v>
      </c>
    </row>
    <row r="730" spans="1:13" ht="25.05" customHeight="1" x14ac:dyDescent="0.3">
      <c r="A730" s="253" t="s">
        <v>975</v>
      </c>
      <c r="B730" s="252" t="s">
        <v>1041</v>
      </c>
      <c r="C730" s="252">
        <v>0</v>
      </c>
      <c r="D730" s="252">
        <v>0</v>
      </c>
      <c r="E730" s="252" t="s">
        <v>20</v>
      </c>
      <c r="F730" s="253" t="s">
        <v>21</v>
      </c>
      <c r="G730" s="253" t="s">
        <v>22</v>
      </c>
      <c r="H730" s="254">
        <v>4707</v>
      </c>
      <c r="I730" s="254">
        <v>4901</v>
      </c>
      <c r="J730" s="254">
        <v>4707</v>
      </c>
      <c r="K730" s="254">
        <v>4901</v>
      </c>
      <c r="L730" s="254">
        <v>-194</v>
      </c>
      <c r="M730" s="254">
        <v>-3.9583758416649664</v>
      </c>
    </row>
    <row r="731" spans="1:13" ht="25.05" customHeight="1" x14ac:dyDescent="0.3">
      <c r="A731" s="253" t="s">
        <v>975</v>
      </c>
      <c r="B731" s="252" t="s">
        <v>164</v>
      </c>
      <c r="C731" s="252">
        <v>0</v>
      </c>
      <c r="D731" s="252">
        <v>0</v>
      </c>
      <c r="E731" s="252" t="s">
        <v>20</v>
      </c>
      <c r="F731" s="253" t="s">
        <v>21</v>
      </c>
      <c r="G731" s="253" t="s">
        <v>22</v>
      </c>
      <c r="H731" s="254">
        <v>43021</v>
      </c>
      <c r="I731" s="254">
        <v>41751</v>
      </c>
      <c r="J731" s="254">
        <v>43021</v>
      </c>
      <c r="K731" s="254">
        <v>41751</v>
      </c>
      <c r="L731" s="254">
        <v>1270</v>
      </c>
      <c r="M731" s="254">
        <v>3.0418433091422963</v>
      </c>
    </row>
    <row r="732" spans="1:13" ht="25.05" customHeight="1" x14ac:dyDescent="0.3">
      <c r="A732" s="253" t="s">
        <v>975</v>
      </c>
      <c r="B732" s="252" t="s">
        <v>1042</v>
      </c>
      <c r="C732" s="252">
        <v>0</v>
      </c>
      <c r="D732" s="252">
        <v>0</v>
      </c>
      <c r="E732" s="252" t="s">
        <v>20</v>
      </c>
      <c r="F732" s="253" t="s">
        <v>21</v>
      </c>
      <c r="G732" s="253" t="s">
        <v>22</v>
      </c>
      <c r="H732" s="254">
        <v>2939</v>
      </c>
      <c r="I732" s="254">
        <v>2784</v>
      </c>
      <c r="J732" s="254">
        <v>2939</v>
      </c>
      <c r="K732" s="254">
        <v>2784</v>
      </c>
      <c r="L732" s="254">
        <v>155</v>
      </c>
      <c r="M732" s="254">
        <v>5.5675287356321839</v>
      </c>
    </row>
    <row r="733" spans="1:13" ht="25.05" customHeight="1" x14ac:dyDescent="0.3">
      <c r="A733" s="253" t="s">
        <v>975</v>
      </c>
      <c r="B733" s="252" t="s">
        <v>1043</v>
      </c>
      <c r="C733" s="252">
        <v>0</v>
      </c>
      <c r="D733" s="252">
        <v>0</v>
      </c>
      <c r="E733" s="252" t="s">
        <v>20</v>
      </c>
      <c r="F733" s="253" t="s">
        <v>21</v>
      </c>
      <c r="G733" s="253" t="s">
        <v>22</v>
      </c>
      <c r="H733" s="254">
        <v>1764</v>
      </c>
      <c r="I733" s="254">
        <v>1609</v>
      </c>
      <c r="J733" s="254">
        <v>1764</v>
      </c>
      <c r="K733" s="254">
        <v>1609</v>
      </c>
      <c r="L733" s="254">
        <v>155</v>
      </c>
      <c r="M733" s="254">
        <v>9.633312616532006</v>
      </c>
    </row>
    <row r="734" spans="1:13" ht="25.05" customHeight="1" x14ac:dyDescent="0.3">
      <c r="A734" s="253" t="s">
        <v>975</v>
      </c>
      <c r="B734" s="252" t="s">
        <v>1044</v>
      </c>
      <c r="C734" s="252">
        <v>0</v>
      </c>
      <c r="D734" s="252">
        <v>0</v>
      </c>
      <c r="E734" s="252" t="s">
        <v>20</v>
      </c>
      <c r="F734" s="253" t="s">
        <v>21</v>
      </c>
      <c r="G734" s="253" t="s">
        <v>22</v>
      </c>
      <c r="H734" s="254">
        <v>4703</v>
      </c>
      <c r="I734" s="254">
        <v>4393</v>
      </c>
      <c r="J734" s="254">
        <v>4703</v>
      </c>
      <c r="K734" s="254">
        <v>4393</v>
      </c>
      <c r="L734" s="254">
        <v>310</v>
      </c>
      <c r="M734" s="254">
        <v>7.0566810835419993</v>
      </c>
    </row>
    <row r="735" spans="1:13" ht="25.05" customHeight="1" x14ac:dyDescent="0.3">
      <c r="A735" s="253" t="s">
        <v>975</v>
      </c>
      <c r="B735" s="252" t="s">
        <v>1045</v>
      </c>
      <c r="C735" s="252">
        <v>0</v>
      </c>
      <c r="D735" s="252">
        <v>0</v>
      </c>
      <c r="E735" s="252" t="s">
        <v>20</v>
      </c>
      <c r="F735" s="253" t="s">
        <v>21</v>
      </c>
      <c r="G735" s="253" t="s">
        <v>22</v>
      </c>
      <c r="H735" s="254">
        <v>23</v>
      </c>
      <c r="I735" s="254">
        <v>175</v>
      </c>
      <c r="J735" s="254">
        <v>23</v>
      </c>
      <c r="K735" s="254">
        <v>175</v>
      </c>
      <c r="L735" s="254">
        <v>-152</v>
      </c>
      <c r="M735" s="254">
        <v>-86.857142857142861</v>
      </c>
    </row>
    <row r="736" spans="1:13" ht="25.05" customHeight="1" x14ac:dyDescent="0.3">
      <c r="A736" s="253" t="s">
        <v>975</v>
      </c>
      <c r="B736" s="252" t="s">
        <v>1046</v>
      </c>
      <c r="C736" s="252">
        <v>0</v>
      </c>
      <c r="D736" s="252">
        <v>0</v>
      </c>
      <c r="E736" s="252" t="s">
        <v>20</v>
      </c>
      <c r="F736" s="253" t="s">
        <v>21</v>
      </c>
      <c r="G736" s="253" t="s">
        <v>22</v>
      </c>
      <c r="H736" s="254">
        <v>47747</v>
      </c>
      <c r="I736" s="254">
        <v>46319</v>
      </c>
      <c r="J736" s="254">
        <v>47747</v>
      </c>
      <c r="K736" s="254">
        <v>46319</v>
      </c>
      <c r="L736" s="254">
        <v>1428</v>
      </c>
      <c r="M736" s="254">
        <v>3.0829681124376607</v>
      </c>
    </row>
    <row r="737" spans="1:13" ht="25.05" customHeight="1" x14ac:dyDescent="0.3">
      <c r="A737" s="253" t="s">
        <v>975</v>
      </c>
      <c r="B737" s="252" t="s">
        <v>1047</v>
      </c>
      <c r="C737" s="252">
        <v>0</v>
      </c>
      <c r="D737" s="252">
        <v>0</v>
      </c>
      <c r="E737" s="252" t="s">
        <v>20</v>
      </c>
      <c r="F737" s="253" t="s">
        <v>21</v>
      </c>
      <c r="G737" s="253" t="s">
        <v>22</v>
      </c>
      <c r="H737" s="254">
        <v>247</v>
      </c>
      <c r="I737" s="254">
        <v>521</v>
      </c>
      <c r="J737" s="254">
        <v>247</v>
      </c>
      <c r="K737" s="254">
        <v>521</v>
      </c>
      <c r="L737" s="254">
        <v>-274</v>
      </c>
      <c r="M737" s="254">
        <v>-52.591170825335901</v>
      </c>
    </row>
    <row r="738" spans="1:13" ht="25.05" customHeight="1" x14ac:dyDescent="0.3">
      <c r="A738" s="267" t="s">
        <v>975</v>
      </c>
      <c r="B738" s="268" t="s">
        <v>38</v>
      </c>
      <c r="C738" s="268">
        <v>0</v>
      </c>
      <c r="D738" s="268">
        <v>0</v>
      </c>
      <c r="E738" s="268" t="s">
        <v>20</v>
      </c>
      <c r="F738" s="267" t="s">
        <v>21</v>
      </c>
      <c r="G738" s="267" t="s">
        <v>22</v>
      </c>
      <c r="H738" s="269">
        <v>47994</v>
      </c>
      <c r="I738" s="269">
        <v>46840</v>
      </c>
      <c r="J738" s="269">
        <v>47994</v>
      </c>
      <c r="K738" s="269">
        <v>46840</v>
      </c>
      <c r="L738" s="269">
        <v>1154</v>
      </c>
      <c r="M738" s="269">
        <v>2.4637062339880442</v>
      </c>
    </row>
    <row r="739" spans="1:13" ht="25.05" customHeight="1" x14ac:dyDescent="0.3">
      <c r="A739" s="253" t="s">
        <v>1048</v>
      </c>
      <c r="B739" s="252" t="s">
        <v>1006</v>
      </c>
      <c r="C739" s="252" t="s">
        <v>1007</v>
      </c>
      <c r="D739" s="252" t="s">
        <v>43</v>
      </c>
      <c r="E739" s="252" t="s">
        <v>40</v>
      </c>
      <c r="F739" s="253" t="s">
        <v>250</v>
      </c>
      <c r="G739" s="253" t="s">
        <v>251</v>
      </c>
      <c r="H739" s="254">
        <v>46.4</v>
      </c>
      <c r="I739" s="254">
        <v>55.3</v>
      </c>
      <c r="J739" s="254">
        <v>426.97280000000001</v>
      </c>
      <c r="K739" s="254">
        <v>508.87060000000002</v>
      </c>
      <c r="L739" s="254">
        <v>-81.897800000000018</v>
      </c>
      <c r="M739" s="254">
        <v>-16.094032549728755</v>
      </c>
    </row>
    <row r="740" spans="1:13" ht="25.05" customHeight="1" x14ac:dyDescent="0.3">
      <c r="A740" s="253" t="s">
        <v>1048</v>
      </c>
      <c r="B740" s="252" t="s">
        <v>1005</v>
      </c>
      <c r="C740" s="252" t="s">
        <v>849</v>
      </c>
      <c r="D740" s="252" t="s">
        <v>1049</v>
      </c>
      <c r="E740" s="252" t="s">
        <v>40</v>
      </c>
      <c r="F740" s="253" t="s">
        <v>250</v>
      </c>
      <c r="G740" s="253" t="s">
        <v>251</v>
      </c>
      <c r="H740" s="254">
        <v>42</v>
      </c>
      <c r="I740" s="254">
        <v>40.299999999999997</v>
      </c>
      <c r="J740" s="254">
        <v>386.48399999999998</v>
      </c>
      <c r="K740" s="254">
        <v>370.84059999999999</v>
      </c>
      <c r="L740" s="254">
        <v>15.643399999999986</v>
      </c>
      <c r="M740" s="254">
        <v>4.2183622828784078</v>
      </c>
    </row>
    <row r="741" spans="1:13" ht="25.05" customHeight="1" x14ac:dyDescent="0.3">
      <c r="A741" s="253" t="s">
        <v>1048</v>
      </c>
      <c r="B741" s="252" t="s">
        <v>850</v>
      </c>
      <c r="C741" s="252" t="s">
        <v>851</v>
      </c>
      <c r="D741" s="252" t="s">
        <v>1049</v>
      </c>
      <c r="E741" s="252" t="s">
        <v>40</v>
      </c>
      <c r="F741" s="253" t="s">
        <v>250</v>
      </c>
      <c r="G741" s="253" t="s">
        <v>251</v>
      </c>
      <c r="H741" s="254">
        <v>28.8</v>
      </c>
      <c r="I741" s="254">
        <v>25</v>
      </c>
      <c r="J741" s="254">
        <v>265.01760000000002</v>
      </c>
      <c r="K741" s="254">
        <v>230.05</v>
      </c>
      <c r="L741" s="254">
        <v>34.967600000000004</v>
      </c>
      <c r="M741" s="254">
        <v>15.200000000000003</v>
      </c>
    </row>
    <row r="742" spans="1:13" ht="25.05" customHeight="1" x14ac:dyDescent="0.3">
      <c r="A742" s="253" t="s">
        <v>1048</v>
      </c>
      <c r="B742" s="252" t="s">
        <v>508</v>
      </c>
      <c r="C742" s="252" t="s">
        <v>509</v>
      </c>
      <c r="D742" s="252" t="s">
        <v>201</v>
      </c>
      <c r="E742" s="252" t="s">
        <v>46</v>
      </c>
      <c r="F742" s="253" t="s">
        <v>250</v>
      </c>
      <c r="G742" s="253" t="s">
        <v>251</v>
      </c>
      <c r="H742" s="254">
        <v>15</v>
      </c>
      <c r="I742" s="254">
        <v>16</v>
      </c>
      <c r="J742" s="254">
        <v>138.03</v>
      </c>
      <c r="K742" s="254">
        <v>147.232</v>
      </c>
      <c r="L742" s="254">
        <v>-9.2019999999999982</v>
      </c>
      <c r="M742" s="254">
        <v>-6.2499999999999982</v>
      </c>
    </row>
    <row r="743" spans="1:13" ht="25.05" customHeight="1" x14ac:dyDescent="0.3">
      <c r="A743" s="253" t="s">
        <v>1048</v>
      </c>
      <c r="B743" s="252" t="s">
        <v>1050</v>
      </c>
      <c r="C743" s="252" t="s">
        <v>1051</v>
      </c>
      <c r="D743" s="252" t="s">
        <v>201</v>
      </c>
      <c r="E743" s="252" t="s">
        <v>46</v>
      </c>
      <c r="F743" s="253" t="s">
        <v>250</v>
      </c>
      <c r="G743" s="253" t="s">
        <v>251</v>
      </c>
      <c r="H743" s="254">
        <v>10.3</v>
      </c>
      <c r="I743" s="254">
        <v>8.1999999999999993</v>
      </c>
      <c r="J743" s="254">
        <v>94.780600000000007</v>
      </c>
      <c r="K743" s="254">
        <v>75.456400000000002</v>
      </c>
      <c r="L743" s="254">
        <v>19.324200000000005</v>
      </c>
      <c r="M743" s="254">
        <v>25.609756097560982</v>
      </c>
    </row>
    <row r="744" spans="1:13" ht="25.05" customHeight="1" x14ac:dyDescent="0.3">
      <c r="A744" s="253" t="s">
        <v>1048</v>
      </c>
      <c r="B744" s="252" t="s">
        <v>517</v>
      </c>
      <c r="C744" s="273" t="s">
        <v>1830</v>
      </c>
      <c r="D744" s="252" t="s">
        <v>201</v>
      </c>
      <c r="E744" s="252" t="s">
        <v>46</v>
      </c>
      <c r="F744" s="253" t="s">
        <v>250</v>
      </c>
      <c r="G744" s="253" t="s">
        <v>251</v>
      </c>
      <c r="H744" s="254">
        <v>8.6999999999999993</v>
      </c>
      <c r="I744" s="254">
        <v>7.5</v>
      </c>
      <c r="J744" s="254">
        <v>80.057400000000001</v>
      </c>
      <c r="K744" s="254">
        <v>69.015000000000001</v>
      </c>
      <c r="L744" s="254">
        <v>11.042400000000001</v>
      </c>
      <c r="M744" s="254">
        <v>16</v>
      </c>
    </row>
    <row r="745" spans="1:13" ht="25.05" customHeight="1" x14ac:dyDescent="0.3">
      <c r="A745" s="253" t="s">
        <v>1048</v>
      </c>
      <c r="B745" s="252" t="s">
        <v>1053</v>
      </c>
      <c r="C745" s="252" t="s">
        <v>1054</v>
      </c>
      <c r="D745" s="252" t="s">
        <v>62</v>
      </c>
      <c r="E745" s="252" t="s">
        <v>46</v>
      </c>
      <c r="F745" s="253" t="s">
        <v>250</v>
      </c>
      <c r="G745" s="253" t="s">
        <v>251</v>
      </c>
      <c r="H745" s="254">
        <v>15.1</v>
      </c>
      <c r="I745" s="254">
        <v>14.9</v>
      </c>
      <c r="J745" s="254">
        <v>138.9502</v>
      </c>
      <c r="K745" s="254">
        <v>137.10980000000001</v>
      </c>
      <c r="L745" s="254">
        <v>1.8403999999999883</v>
      </c>
      <c r="M745" s="254">
        <v>1.3422818791946223</v>
      </c>
    </row>
    <row r="746" spans="1:13" ht="25.05" customHeight="1" x14ac:dyDescent="0.3">
      <c r="A746" s="253" t="s">
        <v>1048</v>
      </c>
      <c r="B746" s="252" t="s">
        <v>1055</v>
      </c>
      <c r="C746" s="252" t="s">
        <v>1056</v>
      </c>
      <c r="D746" s="252" t="s">
        <v>43</v>
      </c>
      <c r="E746" s="252" t="s">
        <v>46</v>
      </c>
      <c r="F746" s="253" t="s">
        <v>250</v>
      </c>
      <c r="G746" s="253" t="s">
        <v>251</v>
      </c>
      <c r="H746" s="254">
        <v>7.9</v>
      </c>
      <c r="I746" s="254">
        <v>5.7</v>
      </c>
      <c r="J746" s="254">
        <v>72.695800000000006</v>
      </c>
      <c r="K746" s="254">
        <v>52.4514</v>
      </c>
      <c r="L746" s="254">
        <v>20.244400000000006</v>
      </c>
      <c r="M746" s="254">
        <v>38.596491228070185</v>
      </c>
    </row>
    <row r="747" spans="1:13" ht="25.05" customHeight="1" x14ac:dyDescent="0.3">
      <c r="A747" s="253" t="s">
        <v>1048</v>
      </c>
      <c r="B747" s="252" t="s">
        <v>1057</v>
      </c>
      <c r="C747" s="252" t="s">
        <v>1058</v>
      </c>
      <c r="D747" s="252" t="s">
        <v>481</v>
      </c>
      <c r="E747" s="252" t="s">
        <v>46</v>
      </c>
      <c r="F747" s="253" t="s">
        <v>250</v>
      </c>
      <c r="G747" s="253" t="s">
        <v>251</v>
      </c>
      <c r="H747" s="254">
        <v>4.0999999999999996</v>
      </c>
      <c r="I747" s="254">
        <v>0</v>
      </c>
      <c r="J747" s="254">
        <v>37.728200000000001</v>
      </c>
      <c r="K747" s="254">
        <v>0</v>
      </c>
      <c r="L747" s="254">
        <v>37.728200000000001</v>
      </c>
      <c r="M747" s="254">
        <v>100</v>
      </c>
    </row>
    <row r="748" spans="1:13" ht="25.05" customHeight="1" x14ac:dyDescent="0.3">
      <c r="A748" s="253" t="s">
        <v>1048</v>
      </c>
      <c r="B748" s="252" t="s">
        <v>1059</v>
      </c>
      <c r="C748" s="252">
        <v>0</v>
      </c>
      <c r="D748" s="252">
        <v>0</v>
      </c>
      <c r="E748" s="252" t="s">
        <v>20</v>
      </c>
      <c r="F748" s="253" t="s">
        <v>250</v>
      </c>
      <c r="G748" s="253" t="s">
        <v>251</v>
      </c>
      <c r="H748" s="254">
        <v>178.4</v>
      </c>
      <c r="I748" s="254">
        <v>173</v>
      </c>
      <c r="J748" s="254">
        <v>1641.6368</v>
      </c>
      <c r="K748" s="254">
        <v>1591.9459999999999</v>
      </c>
      <c r="L748" s="254">
        <v>49.690800000000081</v>
      </c>
      <c r="M748" s="254">
        <v>3.1213872832369995</v>
      </c>
    </row>
    <row r="749" spans="1:13" ht="25.05" customHeight="1" x14ac:dyDescent="0.3">
      <c r="A749" s="253" t="s">
        <v>1048</v>
      </c>
      <c r="B749" s="252" t="s">
        <v>731</v>
      </c>
      <c r="C749" s="252">
        <v>0</v>
      </c>
      <c r="D749" s="252" t="s">
        <v>239</v>
      </c>
      <c r="E749" s="252" t="s">
        <v>239</v>
      </c>
      <c r="F749" s="253" t="s">
        <v>250</v>
      </c>
      <c r="G749" s="253" t="s">
        <v>251</v>
      </c>
      <c r="H749" s="254">
        <v>14.1</v>
      </c>
      <c r="I749" s="254">
        <v>13.1</v>
      </c>
      <c r="J749" s="254">
        <v>129.7482</v>
      </c>
      <c r="K749" s="254">
        <v>120.5462</v>
      </c>
      <c r="L749" s="254">
        <v>9.2019999999999982</v>
      </c>
      <c r="M749" s="254">
        <v>7.6335877862595405</v>
      </c>
    </row>
    <row r="750" spans="1:13" ht="25.05" customHeight="1" x14ac:dyDescent="0.3">
      <c r="A750" s="253" t="s">
        <v>1048</v>
      </c>
      <c r="B750" s="252" t="s">
        <v>1060</v>
      </c>
      <c r="C750" s="252" t="s">
        <v>1061</v>
      </c>
      <c r="D750" s="252" t="s">
        <v>239</v>
      </c>
      <c r="E750" s="252" t="s">
        <v>239</v>
      </c>
      <c r="F750" s="253" t="s">
        <v>250</v>
      </c>
      <c r="G750" s="253" t="s">
        <v>251</v>
      </c>
      <c r="H750" s="254">
        <v>10.6</v>
      </c>
      <c r="I750" s="254">
        <v>9.1</v>
      </c>
      <c r="J750" s="254">
        <v>97.541200000000003</v>
      </c>
      <c r="K750" s="254">
        <v>83.738200000000006</v>
      </c>
      <c r="L750" s="254">
        <v>13.802999999999997</v>
      </c>
      <c r="M750" s="254">
        <v>16.483516483516478</v>
      </c>
    </row>
    <row r="751" spans="1:13" ht="25.05" customHeight="1" x14ac:dyDescent="0.3">
      <c r="A751" s="253" t="s">
        <v>1048</v>
      </c>
      <c r="B751" s="252" t="s">
        <v>1062</v>
      </c>
      <c r="C751" s="252" t="s">
        <v>1063</v>
      </c>
      <c r="D751" s="252" t="s">
        <v>239</v>
      </c>
      <c r="E751" s="252" t="s">
        <v>239</v>
      </c>
      <c r="F751" s="253" t="s">
        <v>250</v>
      </c>
      <c r="G751" s="253" t="s">
        <v>251</v>
      </c>
      <c r="H751" s="254">
        <v>6.3</v>
      </c>
      <c r="I751" s="254">
        <v>6.3</v>
      </c>
      <c r="J751" s="254">
        <v>57.9726</v>
      </c>
      <c r="K751" s="254">
        <v>57.9726</v>
      </c>
      <c r="L751" s="254">
        <v>0</v>
      </c>
      <c r="M751" s="254">
        <v>0</v>
      </c>
    </row>
    <row r="752" spans="1:13" ht="25.05" customHeight="1" x14ac:dyDescent="0.3">
      <c r="A752" s="253" t="s">
        <v>1048</v>
      </c>
      <c r="B752" s="252" t="s">
        <v>1064</v>
      </c>
      <c r="C752" s="252" t="s">
        <v>1065</v>
      </c>
      <c r="D752" s="252" t="s">
        <v>239</v>
      </c>
      <c r="E752" s="252" t="s">
        <v>239</v>
      </c>
      <c r="F752" s="253" t="s">
        <v>250</v>
      </c>
      <c r="G752" s="253" t="s">
        <v>251</v>
      </c>
      <c r="H752" s="254">
        <v>5.3</v>
      </c>
      <c r="I752" s="254">
        <v>5.2</v>
      </c>
      <c r="J752" s="254">
        <v>48.770600000000002</v>
      </c>
      <c r="K752" s="254">
        <v>47.8504</v>
      </c>
      <c r="L752" s="254">
        <v>0.92020000000000124</v>
      </c>
      <c r="M752" s="254">
        <v>1.9230769230769256</v>
      </c>
    </row>
    <row r="753" spans="1:13" ht="25.05" customHeight="1" x14ac:dyDescent="0.3">
      <c r="A753" s="253" t="s">
        <v>1048</v>
      </c>
      <c r="B753" s="252" t="s">
        <v>1066</v>
      </c>
      <c r="C753" s="252">
        <v>0</v>
      </c>
      <c r="D753" s="252" t="s">
        <v>239</v>
      </c>
      <c r="E753" s="252" t="s">
        <v>239</v>
      </c>
      <c r="F753" s="253" t="s">
        <v>250</v>
      </c>
      <c r="G753" s="253" t="s">
        <v>251</v>
      </c>
      <c r="H753" s="254">
        <v>4.9000000000000004</v>
      </c>
      <c r="I753" s="254">
        <v>4.9000000000000004</v>
      </c>
      <c r="J753" s="254">
        <v>45.089800000000004</v>
      </c>
      <c r="K753" s="254">
        <v>45.089800000000004</v>
      </c>
      <c r="L753" s="254">
        <v>0</v>
      </c>
      <c r="M753" s="254">
        <v>0</v>
      </c>
    </row>
    <row r="754" spans="1:13" ht="25.05" customHeight="1" x14ac:dyDescent="0.3">
      <c r="A754" s="253" t="s">
        <v>1048</v>
      </c>
      <c r="B754" s="252" t="s">
        <v>277</v>
      </c>
      <c r="C754" s="252">
        <v>0</v>
      </c>
      <c r="D754" s="252" t="s">
        <v>239</v>
      </c>
      <c r="E754" s="252" t="s">
        <v>239</v>
      </c>
      <c r="F754" s="253" t="s">
        <v>250</v>
      </c>
      <c r="G754" s="253" t="s">
        <v>251</v>
      </c>
      <c r="H754" s="254">
        <v>42</v>
      </c>
      <c r="I754" s="254">
        <v>39.6</v>
      </c>
      <c r="J754" s="254">
        <v>386.48399999999998</v>
      </c>
      <c r="K754" s="254">
        <v>364.39920000000001</v>
      </c>
      <c r="L754" s="254">
        <v>22.084799999999973</v>
      </c>
      <c r="M754" s="254">
        <v>6.0606060606060534</v>
      </c>
    </row>
    <row r="755" spans="1:13" ht="25.05" customHeight="1" x14ac:dyDescent="0.3">
      <c r="A755" s="253" t="s">
        <v>1048</v>
      </c>
      <c r="B755" s="252" t="s">
        <v>1067</v>
      </c>
      <c r="C755" s="252">
        <v>0</v>
      </c>
      <c r="D755" s="252">
        <v>0</v>
      </c>
      <c r="E755" s="252" t="s">
        <v>20</v>
      </c>
      <c r="F755" s="253" t="s">
        <v>250</v>
      </c>
      <c r="G755" s="253" t="s">
        <v>251</v>
      </c>
      <c r="H755" s="254">
        <v>79.2</v>
      </c>
      <c r="I755" s="254">
        <v>68.900000000000006</v>
      </c>
      <c r="J755" s="254">
        <v>728.79840000000002</v>
      </c>
      <c r="K755" s="254">
        <v>634.01779999999997</v>
      </c>
      <c r="L755" s="254">
        <v>94.780600000000049</v>
      </c>
      <c r="M755" s="254">
        <v>14.94920174165458</v>
      </c>
    </row>
    <row r="756" spans="1:13" ht="25.05" customHeight="1" x14ac:dyDescent="0.3">
      <c r="A756" s="253" t="s">
        <v>1048</v>
      </c>
      <c r="B756" s="252" t="s">
        <v>1068</v>
      </c>
      <c r="C756" s="252">
        <v>0</v>
      </c>
      <c r="D756" s="252">
        <v>0</v>
      </c>
      <c r="E756" s="252" t="s">
        <v>20</v>
      </c>
      <c r="F756" s="253" t="s">
        <v>250</v>
      </c>
      <c r="G756" s="253" t="s">
        <v>251</v>
      </c>
      <c r="H756" s="254">
        <v>299.7</v>
      </c>
      <c r="I756" s="254">
        <v>309</v>
      </c>
      <c r="J756" s="254">
        <v>2757.8393999999998</v>
      </c>
      <c r="K756" s="254">
        <v>2843.4180000000001</v>
      </c>
      <c r="L756" s="254">
        <v>-85.578600000000279</v>
      </c>
      <c r="M756" s="254">
        <v>-3.0097087378640874</v>
      </c>
    </row>
    <row r="757" spans="1:13" ht="25.05" customHeight="1" x14ac:dyDescent="0.3">
      <c r="A757" s="253" t="s">
        <v>1048</v>
      </c>
      <c r="B757" s="252" t="s">
        <v>1069</v>
      </c>
      <c r="C757" s="252">
        <v>0</v>
      </c>
      <c r="D757" s="252">
        <v>0</v>
      </c>
      <c r="E757" s="252" t="s">
        <v>20</v>
      </c>
      <c r="F757" s="253" t="s">
        <v>250</v>
      </c>
      <c r="G757" s="253" t="s">
        <v>251</v>
      </c>
      <c r="H757" s="254">
        <v>49.2</v>
      </c>
      <c r="I757" s="254">
        <v>50.6</v>
      </c>
      <c r="J757" s="254">
        <v>452.73840000000001</v>
      </c>
      <c r="K757" s="254">
        <v>465.62119999999999</v>
      </c>
      <c r="L757" s="254">
        <v>-12.882799999999975</v>
      </c>
      <c r="M757" s="254">
        <v>-2.7667984189723267</v>
      </c>
    </row>
    <row r="758" spans="1:13" ht="25.05" customHeight="1" x14ac:dyDescent="0.3">
      <c r="A758" s="253" t="s">
        <v>1048</v>
      </c>
      <c r="B758" s="252" t="s">
        <v>1070</v>
      </c>
      <c r="C758" s="252" t="s">
        <v>1071</v>
      </c>
      <c r="D758" s="252" t="s">
        <v>62</v>
      </c>
      <c r="E758" s="252" t="s">
        <v>46</v>
      </c>
      <c r="F758" s="253" t="s">
        <v>250</v>
      </c>
      <c r="G758" s="253" t="s">
        <v>251</v>
      </c>
      <c r="H758" s="254">
        <v>21.8</v>
      </c>
      <c r="I758" s="254">
        <v>23.7</v>
      </c>
      <c r="J758" s="254">
        <v>200.6036</v>
      </c>
      <c r="K758" s="254">
        <v>218.0874</v>
      </c>
      <c r="L758" s="254">
        <v>-17.483800000000002</v>
      </c>
      <c r="M758" s="254">
        <v>-8.0168776371308024</v>
      </c>
    </row>
    <row r="759" spans="1:13" ht="25.05" customHeight="1" x14ac:dyDescent="0.3">
      <c r="A759" s="253" t="s">
        <v>1048</v>
      </c>
      <c r="B759" s="252" t="s">
        <v>1072</v>
      </c>
      <c r="C759" s="252">
        <v>0</v>
      </c>
      <c r="D759" s="252">
        <v>0</v>
      </c>
      <c r="E759" s="252" t="s">
        <v>20</v>
      </c>
      <c r="F759" s="253" t="s">
        <v>250</v>
      </c>
      <c r="G759" s="253" t="s">
        <v>251</v>
      </c>
      <c r="H759" s="254">
        <v>16.3</v>
      </c>
      <c r="I759" s="254">
        <v>21.7</v>
      </c>
      <c r="J759" s="254">
        <v>149.99260000000001</v>
      </c>
      <c r="K759" s="254">
        <v>199.68340000000001</v>
      </c>
      <c r="L759" s="254">
        <v>-49.690799999999996</v>
      </c>
      <c r="M759" s="254">
        <v>-24.884792626728107</v>
      </c>
    </row>
    <row r="760" spans="1:13" ht="25.05" customHeight="1" x14ac:dyDescent="0.3">
      <c r="A760" s="253" t="s">
        <v>1048</v>
      </c>
      <c r="B760" s="252" t="s">
        <v>1073</v>
      </c>
      <c r="C760" s="252" t="s">
        <v>1074</v>
      </c>
      <c r="D760" s="252" t="s">
        <v>62</v>
      </c>
      <c r="E760" s="252" t="s">
        <v>46</v>
      </c>
      <c r="F760" s="253" t="s">
        <v>250</v>
      </c>
      <c r="G760" s="253" t="s">
        <v>251</v>
      </c>
      <c r="H760" s="254">
        <v>4.3</v>
      </c>
      <c r="I760" s="254">
        <v>9.6</v>
      </c>
      <c r="J760" s="254">
        <v>39.568600000000004</v>
      </c>
      <c r="K760" s="254">
        <v>88.339200000000005</v>
      </c>
      <c r="L760" s="254">
        <v>-48.770600000000002</v>
      </c>
      <c r="M760" s="254">
        <v>-55.208333333333336</v>
      </c>
    </row>
    <row r="761" spans="1:13" ht="25.05" customHeight="1" x14ac:dyDescent="0.3">
      <c r="A761" s="253" t="s">
        <v>1048</v>
      </c>
      <c r="B761" s="252" t="s">
        <v>1075</v>
      </c>
      <c r="C761" s="252" t="s">
        <v>1051</v>
      </c>
      <c r="D761" s="252" t="s">
        <v>201</v>
      </c>
      <c r="E761" s="252" t="s">
        <v>46</v>
      </c>
      <c r="F761" s="253" t="s">
        <v>250</v>
      </c>
      <c r="G761" s="253" t="s">
        <v>251</v>
      </c>
      <c r="H761" s="254">
        <v>9.3000000000000007</v>
      </c>
      <c r="I761" s="254">
        <v>8.6999999999999993</v>
      </c>
      <c r="J761" s="254">
        <v>85.578599999999994</v>
      </c>
      <c r="K761" s="254">
        <v>80.057400000000001</v>
      </c>
      <c r="L761" s="254">
        <v>5.5211999999999932</v>
      </c>
      <c r="M761" s="254">
        <v>6.8965517241379226</v>
      </c>
    </row>
    <row r="762" spans="1:13" ht="25.05" customHeight="1" x14ac:dyDescent="0.3">
      <c r="A762" s="267" t="s">
        <v>1048</v>
      </c>
      <c r="B762" s="268" t="s">
        <v>1076</v>
      </c>
      <c r="C762" s="268">
        <v>0</v>
      </c>
      <c r="D762" s="268">
        <v>0</v>
      </c>
      <c r="E762" s="268" t="s">
        <v>20</v>
      </c>
      <c r="F762" s="267" t="s">
        <v>250</v>
      </c>
      <c r="G762" s="267" t="s">
        <v>251</v>
      </c>
      <c r="H762" s="269">
        <v>372.6</v>
      </c>
      <c r="I762" s="269">
        <v>389.5</v>
      </c>
      <c r="J762" s="269">
        <v>3428.6651999999999</v>
      </c>
      <c r="K762" s="269">
        <v>3584.1790000000001</v>
      </c>
      <c r="L762" s="269">
        <v>-155.51380000000017</v>
      </c>
      <c r="M762" s="269">
        <v>-4.338896020539158</v>
      </c>
    </row>
    <row r="763" spans="1:13" ht="25.05" customHeight="1" x14ac:dyDescent="0.3">
      <c r="A763" s="253" t="s">
        <v>1077</v>
      </c>
      <c r="B763" s="252" t="s">
        <v>1774</v>
      </c>
      <c r="C763" s="252"/>
      <c r="D763" s="252" t="s">
        <v>62</v>
      </c>
      <c r="E763" s="252" t="s">
        <v>20</v>
      </c>
      <c r="F763" s="253" t="s">
        <v>21</v>
      </c>
      <c r="G763" s="253" t="s">
        <v>22</v>
      </c>
      <c r="H763" s="254">
        <v>1325.8</v>
      </c>
      <c r="I763" s="254">
        <v>1289.5999999999999</v>
      </c>
      <c r="J763" s="254">
        <v>1325.8</v>
      </c>
      <c r="K763" s="254">
        <v>1289.5999999999999</v>
      </c>
      <c r="L763" s="254">
        <v>36.200000000000045</v>
      </c>
      <c r="M763" s="254">
        <v>2.8070719602977703</v>
      </c>
    </row>
    <row r="764" spans="1:13" ht="25.05" customHeight="1" x14ac:dyDescent="0.3">
      <c r="A764" s="253" t="s">
        <v>1077</v>
      </c>
      <c r="B764" s="252" t="s">
        <v>1078</v>
      </c>
      <c r="C764" s="252"/>
      <c r="D764" s="252" t="s">
        <v>89</v>
      </c>
      <c r="E764" s="252" t="s">
        <v>20</v>
      </c>
      <c r="F764" s="253" t="s">
        <v>21</v>
      </c>
      <c r="G764" s="253" t="s">
        <v>22</v>
      </c>
      <c r="H764" s="254">
        <v>1197.5999999999999</v>
      </c>
      <c r="I764" s="254">
        <v>1160</v>
      </c>
      <c r="J764" s="254">
        <v>1197.5999999999999</v>
      </c>
      <c r="K764" s="254">
        <v>1160</v>
      </c>
      <c r="L764" s="254">
        <v>37.599999999999909</v>
      </c>
      <c r="M764" s="254">
        <v>3.2413793103448199</v>
      </c>
    </row>
    <row r="765" spans="1:13" ht="25.05" customHeight="1" x14ac:dyDescent="0.3">
      <c r="A765" s="253" t="s">
        <v>1077</v>
      </c>
      <c r="B765" s="252" t="s">
        <v>1079</v>
      </c>
      <c r="C765" s="252"/>
      <c r="D765" s="252" t="s">
        <v>221</v>
      </c>
      <c r="E765" s="252" t="s">
        <v>20</v>
      </c>
      <c r="F765" s="253" t="s">
        <v>21</v>
      </c>
      <c r="G765" s="253" t="s">
        <v>22</v>
      </c>
      <c r="H765" s="254">
        <v>1418.3</v>
      </c>
      <c r="I765" s="254">
        <v>1299.7</v>
      </c>
      <c r="J765" s="254">
        <v>1418.3</v>
      </c>
      <c r="K765" s="254">
        <v>1299.7</v>
      </c>
      <c r="L765" s="254">
        <v>118.59999999999991</v>
      </c>
      <c r="M765" s="254">
        <v>9.1251827344771801</v>
      </c>
    </row>
    <row r="766" spans="1:13" ht="25.05" customHeight="1" x14ac:dyDescent="0.3">
      <c r="A766" s="253" t="s">
        <v>1077</v>
      </c>
      <c r="B766" s="252" t="s">
        <v>1080</v>
      </c>
      <c r="C766" s="252"/>
      <c r="D766" s="252" t="s">
        <v>129</v>
      </c>
      <c r="E766" s="252" t="s">
        <v>20</v>
      </c>
      <c r="F766" s="253" t="s">
        <v>21</v>
      </c>
      <c r="G766" s="253" t="s">
        <v>22</v>
      </c>
      <c r="H766" s="254">
        <v>660</v>
      </c>
      <c r="I766" s="254">
        <v>633.79999999999995</v>
      </c>
      <c r="J766" s="254">
        <v>660</v>
      </c>
      <c r="K766" s="254">
        <v>633.79999999999995</v>
      </c>
      <c r="L766" s="254">
        <v>26.200000000000045</v>
      </c>
      <c r="M766" s="254">
        <v>4.1337961502051188</v>
      </c>
    </row>
    <row r="767" spans="1:13" ht="25.05" customHeight="1" x14ac:dyDescent="0.3">
      <c r="A767" s="253" t="s">
        <v>1077</v>
      </c>
      <c r="B767" s="252" t="s">
        <v>1081</v>
      </c>
      <c r="C767" s="252"/>
      <c r="D767" s="252" t="s">
        <v>97</v>
      </c>
      <c r="E767" s="252" t="s">
        <v>20</v>
      </c>
      <c r="F767" s="253" t="s">
        <v>21</v>
      </c>
      <c r="G767" s="253" t="s">
        <v>22</v>
      </c>
      <c r="H767" s="254">
        <v>839.2</v>
      </c>
      <c r="I767" s="254">
        <v>806.1</v>
      </c>
      <c r="J767" s="254">
        <v>839.2</v>
      </c>
      <c r="K767" s="254">
        <v>806.1</v>
      </c>
      <c r="L767" s="254">
        <v>33.100000000000023</v>
      </c>
      <c r="M767" s="254">
        <v>4.106190298970354</v>
      </c>
    </row>
    <row r="768" spans="1:13" ht="25.05" customHeight="1" x14ac:dyDescent="0.3">
      <c r="A768" s="253" t="s">
        <v>1077</v>
      </c>
      <c r="B768" s="252" t="s">
        <v>1082</v>
      </c>
      <c r="C768" s="252"/>
      <c r="D768" s="252" t="s">
        <v>201</v>
      </c>
      <c r="E768" s="252" t="s">
        <v>20</v>
      </c>
      <c r="F768" s="253" t="s">
        <v>21</v>
      </c>
      <c r="G768" s="253" t="s">
        <v>22</v>
      </c>
      <c r="H768" s="254">
        <v>508.8</v>
      </c>
      <c r="I768" s="254">
        <v>644.5</v>
      </c>
      <c r="J768" s="254">
        <v>508.8</v>
      </c>
      <c r="K768" s="254">
        <v>644.5</v>
      </c>
      <c r="L768" s="254">
        <v>-135.69999999999999</v>
      </c>
      <c r="M768" s="254">
        <v>-21.055081458494957</v>
      </c>
    </row>
    <row r="769" spans="1:13" ht="25.05" customHeight="1" x14ac:dyDescent="0.3">
      <c r="A769" s="253" t="s">
        <v>1077</v>
      </c>
      <c r="B769" s="252" t="s">
        <v>56</v>
      </c>
      <c r="C769" s="252"/>
      <c r="D769" s="252" t="s">
        <v>56</v>
      </c>
      <c r="E769" s="252" t="s">
        <v>20</v>
      </c>
      <c r="F769" s="253" t="s">
        <v>21</v>
      </c>
      <c r="G769" s="253" t="s">
        <v>22</v>
      </c>
      <c r="H769" s="254">
        <v>360</v>
      </c>
      <c r="I769" s="254">
        <v>366</v>
      </c>
      <c r="J769" s="254">
        <v>360</v>
      </c>
      <c r="K769" s="254">
        <v>366</v>
      </c>
      <c r="L769" s="254">
        <v>-6</v>
      </c>
      <c r="M769" s="254">
        <v>-1.639344262295082</v>
      </c>
    </row>
    <row r="770" spans="1:13" ht="25.05" customHeight="1" x14ac:dyDescent="0.3">
      <c r="A770" s="253" t="s">
        <v>1077</v>
      </c>
      <c r="B770" s="252" t="s">
        <v>86</v>
      </c>
      <c r="C770" s="252"/>
      <c r="D770" s="252" t="s">
        <v>84</v>
      </c>
      <c r="E770" s="252" t="s">
        <v>20</v>
      </c>
      <c r="F770" s="253" t="s">
        <v>21</v>
      </c>
      <c r="G770" s="253" t="s">
        <v>22</v>
      </c>
      <c r="H770" s="254">
        <v>541.4</v>
      </c>
      <c r="I770" s="254">
        <v>500.2</v>
      </c>
      <c r="J770" s="254">
        <v>541.4</v>
      </c>
      <c r="K770" s="254">
        <v>500.2</v>
      </c>
      <c r="L770" s="254">
        <v>41.199999999999989</v>
      </c>
      <c r="M770" s="254">
        <v>8.2367053178728487</v>
      </c>
    </row>
    <row r="771" spans="1:13" ht="25.05" customHeight="1" x14ac:dyDescent="0.3">
      <c r="A771" s="253" t="s">
        <v>1077</v>
      </c>
      <c r="B771" s="252" t="s">
        <v>49</v>
      </c>
      <c r="C771" s="252"/>
      <c r="D771" s="252" t="s">
        <v>49</v>
      </c>
      <c r="E771" s="252" t="s">
        <v>20</v>
      </c>
      <c r="F771" s="253" t="s">
        <v>21</v>
      </c>
      <c r="G771" s="253" t="s">
        <v>22</v>
      </c>
      <c r="H771" s="254">
        <v>645.79999999999995</v>
      </c>
      <c r="I771" s="254">
        <v>734.7</v>
      </c>
      <c r="J771" s="254">
        <v>645.79999999999995</v>
      </c>
      <c r="K771" s="254">
        <v>734.7</v>
      </c>
      <c r="L771" s="254">
        <v>-88.900000000000091</v>
      </c>
      <c r="M771" s="254">
        <v>-12.100176942969931</v>
      </c>
    </row>
    <row r="772" spans="1:13" ht="25.05" customHeight="1" x14ac:dyDescent="0.3">
      <c r="A772" s="253" t="s">
        <v>1077</v>
      </c>
      <c r="B772" s="252" t="s">
        <v>43</v>
      </c>
      <c r="C772" s="252"/>
      <c r="D772" s="252" t="s">
        <v>43</v>
      </c>
      <c r="E772" s="252" t="s">
        <v>20</v>
      </c>
      <c r="F772" s="253" t="s">
        <v>21</v>
      </c>
      <c r="G772" s="253" t="s">
        <v>22</v>
      </c>
      <c r="H772" s="254">
        <v>142.4</v>
      </c>
      <c r="I772" s="254">
        <v>100.3</v>
      </c>
      <c r="J772" s="254">
        <v>142.4</v>
      </c>
      <c r="K772" s="254">
        <v>100.3</v>
      </c>
      <c r="L772" s="254">
        <v>42.100000000000009</v>
      </c>
      <c r="M772" s="254">
        <v>41.974077766699907</v>
      </c>
    </row>
    <row r="773" spans="1:13" ht="25.05" customHeight="1" x14ac:dyDescent="0.3">
      <c r="A773" s="253" t="s">
        <v>1077</v>
      </c>
      <c r="B773" s="252" t="s">
        <v>177</v>
      </c>
      <c r="C773" s="252"/>
      <c r="D773" s="252">
        <v>0</v>
      </c>
      <c r="E773" s="252" t="s">
        <v>20</v>
      </c>
      <c r="F773" s="253" t="s">
        <v>21</v>
      </c>
      <c r="G773" s="253" t="s">
        <v>22</v>
      </c>
      <c r="H773" s="254">
        <v>592.9</v>
      </c>
      <c r="I773" s="254">
        <v>672.1</v>
      </c>
      <c r="J773" s="254">
        <v>592.9</v>
      </c>
      <c r="K773" s="254">
        <v>672.1</v>
      </c>
      <c r="L773" s="254">
        <v>-79.200000000000045</v>
      </c>
      <c r="M773" s="254">
        <v>-11.78396072013094</v>
      </c>
    </row>
    <row r="774" spans="1:13" ht="25.05" customHeight="1" x14ac:dyDescent="0.3">
      <c r="A774" s="253" t="s">
        <v>1077</v>
      </c>
      <c r="B774" s="252" t="s">
        <v>101</v>
      </c>
      <c r="C774" s="252"/>
      <c r="D774" s="252">
        <v>0</v>
      </c>
      <c r="E774" s="252" t="s">
        <v>20</v>
      </c>
      <c r="F774" s="253" t="s">
        <v>21</v>
      </c>
      <c r="G774" s="253" t="s">
        <v>22</v>
      </c>
      <c r="H774" s="254">
        <v>8232.2000000000007</v>
      </c>
      <c r="I774" s="254">
        <v>8207</v>
      </c>
      <c r="J774" s="254">
        <v>8232.2000000000007</v>
      </c>
      <c r="K774" s="254">
        <v>8207</v>
      </c>
      <c r="L774" s="254">
        <v>25.200000000000728</v>
      </c>
      <c r="M774" s="254">
        <v>0.30705495308883546</v>
      </c>
    </row>
    <row r="775" spans="1:13" ht="25.05" customHeight="1" x14ac:dyDescent="0.3">
      <c r="A775" s="253" t="s">
        <v>1077</v>
      </c>
      <c r="B775" s="252" t="s">
        <v>165</v>
      </c>
      <c r="C775" s="252"/>
      <c r="D775" s="252">
        <v>0</v>
      </c>
      <c r="E775" s="252" t="s">
        <v>20</v>
      </c>
      <c r="F775" s="253" t="s">
        <v>21</v>
      </c>
      <c r="G775" s="253" t="s">
        <v>22</v>
      </c>
      <c r="H775" s="254">
        <v>90.3</v>
      </c>
      <c r="I775" s="254">
        <v>101.7</v>
      </c>
      <c r="J775" s="254">
        <v>90.3</v>
      </c>
      <c r="K775" s="254">
        <v>101.7</v>
      </c>
      <c r="L775" s="254">
        <v>-11.400000000000006</v>
      </c>
      <c r="M775" s="254">
        <v>-11.209439528023605</v>
      </c>
    </row>
    <row r="776" spans="1:13" ht="25.05" customHeight="1" x14ac:dyDescent="0.3">
      <c r="A776" s="267" t="s">
        <v>1077</v>
      </c>
      <c r="B776" s="268" t="s">
        <v>101</v>
      </c>
      <c r="C776" s="268"/>
      <c r="D776" s="268">
        <v>0</v>
      </c>
      <c r="E776" s="268" t="s">
        <v>20</v>
      </c>
      <c r="F776" s="267" t="s">
        <v>21</v>
      </c>
      <c r="G776" s="267" t="s">
        <v>22</v>
      </c>
      <c r="H776" s="269">
        <v>8322.5</v>
      </c>
      <c r="I776" s="269">
        <v>8308.7000000000007</v>
      </c>
      <c r="J776" s="269">
        <v>8322.5</v>
      </c>
      <c r="K776" s="269">
        <v>8308.7000000000007</v>
      </c>
      <c r="L776" s="269">
        <v>13.799999999999272</v>
      </c>
      <c r="M776" s="269">
        <v>0.16609096489221264</v>
      </c>
    </row>
    <row r="777" spans="1:13" ht="25.05" customHeight="1" x14ac:dyDescent="0.3">
      <c r="A777" s="253" t="s">
        <v>1083</v>
      </c>
      <c r="B777" s="252" t="s">
        <v>1780</v>
      </c>
      <c r="C777" s="252" t="s">
        <v>1781</v>
      </c>
      <c r="D777" s="252" t="s">
        <v>481</v>
      </c>
      <c r="E777" s="252" t="s">
        <v>46</v>
      </c>
      <c r="F777" s="253" t="s">
        <v>21</v>
      </c>
      <c r="G777" s="253" t="s">
        <v>22</v>
      </c>
      <c r="H777" s="254">
        <v>993.1</v>
      </c>
      <c r="I777" s="254">
        <v>752.9</v>
      </c>
      <c r="J777" s="254">
        <v>993.1</v>
      </c>
      <c r="K777" s="254">
        <v>752.9</v>
      </c>
      <c r="L777" s="254">
        <v>240.20000000000005</v>
      </c>
      <c r="M777" s="254">
        <v>31.90330721211317</v>
      </c>
    </row>
    <row r="778" spans="1:13" ht="25.05" customHeight="1" x14ac:dyDescent="0.3">
      <c r="A778" s="253" t="s">
        <v>1083</v>
      </c>
      <c r="B778" s="252" t="s">
        <v>1084</v>
      </c>
      <c r="C778" s="252" t="s">
        <v>1085</v>
      </c>
      <c r="D778" s="252" t="s">
        <v>481</v>
      </c>
      <c r="E778" s="252" t="s">
        <v>46</v>
      </c>
      <c r="F778" s="253" t="s">
        <v>21</v>
      </c>
      <c r="G778" s="253" t="s">
        <v>22</v>
      </c>
      <c r="H778" s="254">
        <v>1</v>
      </c>
      <c r="I778" s="254">
        <v>0</v>
      </c>
      <c r="J778" s="254">
        <v>1</v>
      </c>
      <c r="K778" s="254">
        <v>0</v>
      </c>
      <c r="L778" s="254">
        <v>1</v>
      </c>
      <c r="M778" s="254">
        <v>100</v>
      </c>
    </row>
    <row r="779" spans="1:13" ht="25.05" customHeight="1" x14ac:dyDescent="0.3">
      <c r="A779" s="253" t="s">
        <v>1083</v>
      </c>
      <c r="B779" s="252" t="s">
        <v>1086</v>
      </c>
      <c r="C779" s="252">
        <v>0</v>
      </c>
      <c r="D779" s="252">
        <v>0</v>
      </c>
      <c r="E779" s="252" t="s">
        <v>20</v>
      </c>
      <c r="F779" s="253" t="s">
        <v>21</v>
      </c>
      <c r="G779" s="253" t="s">
        <v>22</v>
      </c>
      <c r="H779" s="254">
        <v>51.8</v>
      </c>
      <c r="I779" s="254">
        <v>35.200000000000003</v>
      </c>
      <c r="J779" s="254">
        <v>51.8</v>
      </c>
      <c r="K779" s="254">
        <v>35.200000000000003</v>
      </c>
      <c r="L779" s="254">
        <v>16.599999999999994</v>
      </c>
      <c r="M779" s="254">
        <v>47.159090909090892</v>
      </c>
    </row>
    <row r="780" spans="1:13" ht="25.05" customHeight="1" x14ac:dyDescent="0.3">
      <c r="A780" s="267" t="s">
        <v>1083</v>
      </c>
      <c r="B780" s="268" t="s">
        <v>1087</v>
      </c>
      <c r="C780" s="268">
        <v>0</v>
      </c>
      <c r="D780" s="268">
        <v>0</v>
      </c>
      <c r="E780" s="268" t="s">
        <v>20</v>
      </c>
      <c r="F780" s="267" t="s">
        <v>21</v>
      </c>
      <c r="G780" s="267" t="s">
        <v>22</v>
      </c>
      <c r="H780" s="269">
        <v>1045.9000000000001</v>
      </c>
      <c r="I780" s="269">
        <v>788.1</v>
      </c>
      <c r="J780" s="269">
        <v>1045.9000000000001</v>
      </c>
      <c r="K780" s="269">
        <v>788.1</v>
      </c>
      <c r="L780" s="269">
        <v>257.80000000000007</v>
      </c>
      <c r="M780" s="269">
        <v>32.711584824260889</v>
      </c>
    </row>
    <row r="781" spans="1:13" ht="25.05" customHeight="1" x14ac:dyDescent="0.3">
      <c r="A781" s="253" t="s">
        <v>1088</v>
      </c>
      <c r="B781" s="252" t="s">
        <v>1783</v>
      </c>
      <c r="C781" s="252" t="s">
        <v>1784</v>
      </c>
      <c r="D781" s="252" t="s">
        <v>49</v>
      </c>
      <c r="E781" s="252" t="s">
        <v>46</v>
      </c>
      <c r="F781" s="253" t="s">
        <v>21</v>
      </c>
      <c r="G781" s="253" t="s">
        <v>22</v>
      </c>
      <c r="H781" s="254">
        <v>1958</v>
      </c>
      <c r="I781" s="254">
        <v>1880</v>
      </c>
      <c r="J781" s="254">
        <v>1958</v>
      </c>
      <c r="K781" s="254">
        <v>1880</v>
      </c>
      <c r="L781" s="254">
        <v>78</v>
      </c>
      <c r="M781" s="254">
        <v>4.1489361702127656</v>
      </c>
    </row>
    <row r="782" spans="1:13" ht="25.05" customHeight="1" x14ac:dyDescent="0.3">
      <c r="A782" s="253" t="s">
        <v>1088</v>
      </c>
      <c r="B782" s="252" t="s">
        <v>1089</v>
      </c>
      <c r="C782" s="252" t="s">
        <v>1090</v>
      </c>
      <c r="D782" s="252" t="s">
        <v>49</v>
      </c>
      <c r="E782" s="252" t="s">
        <v>46</v>
      </c>
      <c r="F782" s="253" t="s">
        <v>21</v>
      </c>
      <c r="G782" s="253" t="s">
        <v>22</v>
      </c>
      <c r="H782" s="254">
        <v>1738</v>
      </c>
      <c r="I782" s="254">
        <v>1416</v>
      </c>
      <c r="J782" s="254">
        <v>1738</v>
      </c>
      <c r="K782" s="254">
        <v>1416</v>
      </c>
      <c r="L782" s="254">
        <v>322</v>
      </c>
      <c r="M782" s="254">
        <v>22.74011299435028</v>
      </c>
    </row>
    <row r="783" spans="1:13" ht="25.05" customHeight="1" x14ac:dyDescent="0.3">
      <c r="A783" s="253" t="s">
        <v>1088</v>
      </c>
      <c r="B783" s="252" t="s">
        <v>1091</v>
      </c>
      <c r="C783" s="273" t="s">
        <v>1831</v>
      </c>
      <c r="D783" s="252" t="s">
        <v>49</v>
      </c>
      <c r="E783" s="252" t="s">
        <v>46</v>
      </c>
      <c r="F783" s="253" t="s">
        <v>21</v>
      </c>
      <c r="G783" s="253" t="s">
        <v>22</v>
      </c>
      <c r="H783" s="254">
        <v>1542</v>
      </c>
      <c r="I783" s="254">
        <v>1338</v>
      </c>
      <c r="J783" s="254">
        <v>1542</v>
      </c>
      <c r="K783" s="254">
        <v>1338</v>
      </c>
      <c r="L783" s="254">
        <v>204</v>
      </c>
      <c r="M783" s="254">
        <v>15.246636771300448</v>
      </c>
    </row>
    <row r="784" spans="1:13" ht="25.05" customHeight="1" x14ac:dyDescent="0.3">
      <c r="A784" s="253" t="s">
        <v>1088</v>
      </c>
      <c r="B784" s="252" t="s">
        <v>1093</v>
      </c>
      <c r="C784" s="252" t="s">
        <v>1094</v>
      </c>
      <c r="D784" s="252" t="s">
        <v>49</v>
      </c>
      <c r="E784" s="252" t="s">
        <v>46</v>
      </c>
      <c r="F784" s="253" t="s">
        <v>21</v>
      </c>
      <c r="G784" s="253" t="s">
        <v>22</v>
      </c>
      <c r="H784" s="254">
        <v>1439</v>
      </c>
      <c r="I784" s="254">
        <v>1585</v>
      </c>
      <c r="J784" s="254">
        <v>1439</v>
      </c>
      <c r="K784" s="254">
        <v>1585</v>
      </c>
      <c r="L784" s="254">
        <v>-146</v>
      </c>
      <c r="M784" s="254">
        <v>-9.2113564668769712</v>
      </c>
    </row>
    <row r="785" spans="1:13" ht="25.05" customHeight="1" x14ac:dyDescent="0.3">
      <c r="A785" s="253" t="s">
        <v>1088</v>
      </c>
      <c r="B785" s="252" t="s">
        <v>1095</v>
      </c>
      <c r="C785" s="252" t="s">
        <v>1096</v>
      </c>
      <c r="D785" s="252" t="s">
        <v>49</v>
      </c>
      <c r="E785" s="252" t="s">
        <v>46</v>
      </c>
      <c r="F785" s="253" t="s">
        <v>21</v>
      </c>
      <c r="G785" s="253" t="s">
        <v>22</v>
      </c>
      <c r="H785" s="254">
        <v>1339</v>
      </c>
      <c r="I785" s="254">
        <v>1114</v>
      </c>
      <c r="J785" s="254">
        <v>1339</v>
      </c>
      <c r="K785" s="254">
        <v>1114</v>
      </c>
      <c r="L785" s="254">
        <v>225</v>
      </c>
      <c r="M785" s="254">
        <v>20.197486535008977</v>
      </c>
    </row>
    <row r="786" spans="1:13" ht="25.05" customHeight="1" x14ac:dyDescent="0.3">
      <c r="A786" s="253" t="s">
        <v>1088</v>
      </c>
      <c r="B786" s="252" t="s">
        <v>1097</v>
      </c>
      <c r="C786" s="252" t="s">
        <v>1098</v>
      </c>
      <c r="D786" s="252" t="s">
        <v>49</v>
      </c>
      <c r="E786" s="252" t="s">
        <v>46</v>
      </c>
      <c r="F786" s="253" t="s">
        <v>21</v>
      </c>
      <c r="G786" s="253" t="s">
        <v>22</v>
      </c>
      <c r="H786" s="254">
        <v>1188</v>
      </c>
      <c r="I786" s="254">
        <v>1263</v>
      </c>
      <c r="J786" s="254">
        <v>1188</v>
      </c>
      <c r="K786" s="254">
        <v>1263</v>
      </c>
      <c r="L786" s="254">
        <v>-75</v>
      </c>
      <c r="M786" s="254">
        <v>-5.938242280285035</v>
      </c>
    </row>
    <row r="787" spans="1:13" ht="25.05" customHeight="1" x14ac:dyDescent="0.3">
      <c r="A787" s="253" t="s">
        <v>1088</v>
      </c>
      <c r="B787" s="252" t="s">
        <v>1099</v>
      </c>
      <c r="C787" s="252" t="s">
        <v>1100</v>
      </c>
      <c r="D787" s="252" t="s">
        <v>49</v>
      </c>
      <c r="E787" s="252" t="s">
        <v>46</v>
      </c>
      <c r="F787" s="253" t="s">
        <v>21</v>
      </c>
      <c r="G787" s="253" t="s">
        <v>22</v>
      </c>
      <c r="H787" s="254">
        <v>1083</v>
      </c>
      <c r="I787" s="254">
        <v>1539</v>
      </c>
      <c r="J787" s="254">
        <v>1083</v>
      </c>
      <c r="K787" s="254">
        <v>1539</v>
      </c>
      <c r="L787" s="254">
        <v>-456</v>
      </c>
      <c r="M787" s="254">
        <v>-29.629629629629626</v>
      </c>
    </row>
    <row r="788" spans="1:13" ht="25.05" customHeight="1" x14ac:dyDescent="0.3">
      <c r="A788" s="253" t="s">
        <v>1088</v>
      </c>
      <c r="B788" s="252" t="s">
        <v>1101</v>
      </c>
      <c r="C788" s="252" t="s">
        <v>1102</v>
      </c>
      <c r="D788" s="252" t="s">
        <v>49</v>
      </c>
      <c r="E788" s="252" t="s">
        <v>46</v>
      </c>
      <c r="F788" s="253" t="s">
        <v>21</v>
      </c>
      <c r="G788" s="253" t="s">
        <v>22</v>
      </c>
      <c r="H788" s="254">
        <v>687</v>
      </c>
      <c r="I788" s="254">
        <v>480</v>
      </c>
      <c r="J788" s="254">
        <v>687</v>
      </c>
      <c r="K788" s="254">
        <v>480</v>
      </c>
      <c r="L788" s="254">
        <v>207</v>
      </c>
      <c r="M788" s="254">
        <v>43.125</v>
      </c>
    </row>
    <row r="789" spans="1:13" ht="25.05" customHeight="1" x14ac:dyDescent="0.3">
      <c r="A789" s="253" t="s">
        <v>1088</v>
      </c>
      <c r="B789" s="252" t="s">
        <v>1103</v>
      </c>
      <c r="C789" s="252" t="s">
        <v>1104</v>
      </c>
      <c r="D789" s="252" t="s">
        <v>49</v>
      </c>
      <c r="E789" s="252" t="s">
        <v>46</v>
      </c>
      <c r="F789" s="253" t="s">
        <v>21</v>
      </c>
      <c r="G789" s="253" t="s">
        <v>22</v>
      </c>
      <c r="H789" s="254">
        <v>653</v>
      </c>
      <c r="I789" s="254">
        <v>975</v>
      </c>
      <c r="J789" s="254">
        <v>653</v>
      </c>
      <c r="K789" s="254">
        <v>975</v>
      </c>
      <c r="L789" s="254">
        <v>-322</v>
      </c>
      <c r="M789" s="254">
        <v>-33.025641025641029</v>
      </c>
    </row>
    <row r="790" spans="1:13" ht="25.05" customHeight="1" x14ac:dyDescent="0.3">
      <c r="A790" s="253" t="s">
        <v>1088</v>
      </c>
      <c r="B790" s="252" t="s">
        <v>1105</v>
      </c>
      <c r="C790" s="252" t="s">
        <v>1106</v>
      </c>
      <c r="D790" s="252" t="s">
        <v>49</v>
      </c>
      <c r="E790" s="252" t="s">
        <v>46</v>
      </c>
      <c r="F790" s="253" t="s">
        <v>21</v>
      </c>
      <c r="G790" s="253" t="s">
        <v>22</v>
      </c>
      <c r="H790" s="254">
        <v>635</v>
      </c>
      <c r="I790" s="254">
        <v>755</v>
      </c>
      <c r="J790" s="254">
        <v>635</v>
      </c>
      <c r="K790" s="254">
        <v>755</v>
      </c>
      <c r="L790" s="254">
        <v>-120</v>
      </c>
      <c r="M790" s="254">
        <v>-15.894039735099339</v>
      </c>
    </row>
    <row r="791" spans="1:13" ht="25.05" customHeight="1" x14ac:dyDescent="0.3">
      <c r="A791" s="253" t="s">
        <v>1088</v>
      </c>
      <c r="B791" s="252" t="s">
        <v>1107</v>
      </c>
      <c r="C791" s="252" t="s">
        <v>1108</v>
      </c>
      <c r="D791" s="252" t="s">
        <v>49</v>
      </c>
      <c r="E791" s="252" t="s">
        <v>40</v>
      </c>
      <c r="F791" s="253" t="s">
        <v>21</v>
      </c>
      <c r="G791" s="253" t="s">
        <v>22</v>
      </c>
      <c r="H791" s="254">
        <v>474</v>
      </c>
      <c r="I791" s="254">
        <v>278</v>
      </c>
      <c r="J791" s="254">
        <v>474</v>
      </c>
      <c r="K791" s="254">
        <v>278</v>
      </c>
      <c r="L791" s="254">
        <v>196</v>
      </c>
      <c r="M791" s="254">
        <v>70.503597122302153</v>
      </c>
    </row>
    <row r="792" spans="1:13" ht="25.05" customHeight="1" x14ac:dyDescent="0.3">
      <c r="A792" s="253" t="s">
        <v>1088</v>
      </c>
      <c r="B792" s="252" t="s">
        <v>1109</v>
      </c>
      <c r="C792" s="252" t="s">
        <v>1110</v>
      </c>
      <c r="D792" s="252" t="s">
        <v>49</v>
      </c>
      <c r="E792" s="252" t="s">
        <v>46</v>
      </c>
      <c r="F792" s="253" t="s">
        <v>21</v>
      </c>
      <c r="G792" s="253" t="s">
        <v>22</v>
      </c>
      <c r="H792" s="254">
        <v>445</v>
      </c>
      <c r="I792" s="254">
        <v>441</v>
      </c>
      <c r="J792" s="254">
        <v>445</v>
      </c>
      <c r="K792" s="254">
        <v>441</v>
      </c>
      <c r="L792" s="254">
        <v>4</v>
      </c>
      <c r="M792" s="254">
        <v>0.90702947845804993</v>
      </c>
    </row>
    <row r="793" spans="1:13" ht="25.05" customHeight="1" x14ac:dyDescent="0.3">
      <c r="A793" s="253" t="s">
        <v>1088</v>
      </c>
      <c r="B793" s="252" t="s">
        <v>1111</v>
      </c>
      <c r="C793" s="252" t="s">
        <v>1112</v>
      </c>
      <c r="D793" s="252" t="s">
        <v>49</v>
      </c>
      <c r="E793" s="252" t="s">
        <v>46</v>
      </c>
      <c r="F793" s="253" t="s">
        <v>21</v>
      </c>
      <c r="G793" s="253" t="s">
        <v>22</v>
      </c>
      <c r="H793" s="254">
        <v>320</v>
      </c>
      <c r="I793" s="254">
        <v>116</v>
      </c>
      <c r="J793" s="254">
        <v>320</v>
      </c>
      <c r="K793" s="254">
        <v>116</v>
      </c>
      <c r="L793" s="254">
        <v>204</v>
      </c>
      <c r="M793" s="254">
        <v>175.86206896551724</v>
      </c>
    </row>
    <row r="794" spans="1:13" ht="25.05" customHeight="1" x14ac:dyDescent="0.3">
      <c r="A794" s="253" t="s">
        <v>1088</v>
      </c>
      <c r="B794" s="252" t="s">
        <v>1113</v>
      </c>
      <c r="C794" s="252" t="s">
        <v>1114</v>
      </c>
      <c r="D794" s="252" t="s">
        <v>49</v>
      </c>
      <c r="E794" s="252" t="s">
        <v>40</v>
      </c>
      <c r="F794" s="253" t="s">
        <v>21</v>
      </c>
      <c r="G794" s="253" t="s">
        <v>22</v>
      </c>
      <c r="H794" s="254">
        <v>105</v>
      </c>
      <c r="I794" s="254">
        <v>1</v>
      </c>
      <c r="J794" s="254">
        <v>105</v>
      </c>
      <c r="K794" s="254">
        <v>1</v>
      </c>
      <c r="L794" s="254">
        <v>104</v>
      </c>
      <c r="M794" s="254">
        <v>10400</v>
      </c>
    </row>
    <row r="795" spans="1:13" ht="25.05" customHeight="1" x14ac:dyDescent="0.3">
      <c r="A795" s="253" t="s">
        <v>1088</v>
      </c>
      <c r="B795" s="252" t="s">
        <v>1115</v>
      </c>
      <c r="C795" s="252" t="s">
        <v>1116</v>
      </c>
      <c r="D795" s="252" t="s">
        <v>49</v>
      </c>
      <c r="E795" s="252" t="s">
        <v>46</v>
      </c>
      <c r="F795" s="253" t="s">
        <v>21</v>
      </c>
      <c r="G795" s="253" t="s">
        <v>22</v>
      </c>
      <c r="H795" s="254">
        <v>35</v>
      </c>
      <c r="I795" s="254">
        <v>0</v>
      </c>
      <c r="J795" s="254">
        <v>35</v>
      </c>
      <c r="K795" s="254">
        <v>0</v>
      </c>
      <c r="L795" s="254">
        <v>35</v>
      </c>
      <c r="M795" s="254" t="s">
        <v>67</v>
      </c>
    </row>
    <row r="796" spans="1:13" ht="25.05" customHeight="1" x14ac:dyDescent="0.3">
      <c r="A796" s="253" t="s">
        <v>1088</v>
      </c>
      <c r="B796" s="252" t="s">
        <v>23</v>
      </c>
      <c r="C796" s="252">
        <v>0</v>
      </c>
      <c r="D796" s="252" t="s">
        <v>49</v>
      </c>
      <c r="E796" s="252" t="s">
        <v>20</v>
      </c>
      <c r="F796" s="253" t="s">
        <v>21</v>
      </c>
      <c r="G796" s="253" t="s">
        <v>22</v>
      </c>
      <c r="H796" s="254">
        <v>1070</v>
      </c>
      <c r="I796" s="254">
        <v>1189</v>
      </c>
      <c r="J796" s="254">
        <v>1070</v>
      </c>
      <c r="K796" s="254">
        <v>1189</v>
      </c>
      <c r="L796" s="254">
        <v>-119</v>
      </c>
      <c r="M796" s="254">
        <v>-10.008410428931876</v>
      </c>
    </row>
    <row r="797" spans="1:13" ht="25.05" customHeight="1" x14ac:dyDescent="0.3">
      <c r="A797" s="253" t="s">
        <v>1088</v>
      </c>
      <c r="B797" s="252" t="s">
        <v>198</v>
      </c>
      <c r="C797" s="252">
        <v>0</v>
      </c>
      <c r="D797" s="252" t="s">
        <v>49</v>
      </c>
      <c r="E797" s="252" t="s">
        <v>20</v>
      </c>
      <c r="F797" s="253" t="s">
        <v>21</v>
      </c>
      <c r="G797" s="253" t="s">
        <v>22</v>
      </c>
      <c r="H797" s="254">
        <v>14711</v>
      </c>
      <c r="I797" s="254">
        <v>14370</v>
      </c>
      <c r="J797" s="254">
        <v>14711</v>
      </c>
      <c r="K797" s="254">
        <v>14370</v>
      </c>
      <c r="L797" s="254">
        <v>341</v>
      </c>
      <c r="M797" s="254">
        <v>2.3729993041057758</v>
      </c>
    </row>
    <row r="798" spans="1:13" ht="25.05" customHeight="1" x14ac:dyDescent="0.3">
      <c r="A798" s="253" t="s">
        <v>1088</v>
      </c>
      <c r="B798" s="252" t="s">
        <v>1117</v>
      </c>
      <c r="C798" s="252" t="s">
        <v>1118</v>
      </c>
      <c r="D798" s="252" t="s">
        <v>43</v>
      </c>
      <c r="E798" s="252" t="s">
        <v>40</v>
      </c>
      <c r="F798" s="253" t="s">
        <v>21</v>
      </c>
      <c r="G798" s="253" t="s">
        <v>22</v>
      </c>
      <c r="H798" s="254">
        <v>3995</v>
      </c>
      <c r="I798" s="254">
        <v>3551</v>
      </c>
      <c r="J798" s="254">
        <v>3995</v>
      </c>
      <c r="K798" s="254">
        <v>3551</v>
      </c>
      <c r="L798" s="254">
        <v>444</v>
      </c>
      <c r="M798" s="254">
        <v>12.50352013517319</v>
      </c>
    </row>
    <row r="799" spans="1:13" ht="25.05" customHeight="1" x14ac:dyDescent="0.3">
      <c r="A799" s="253" t="s">
        <v>1088</v>
      </c>
      <c r="B799" s="252" t="s">
        <v>1119</v>
      </c>
      <c r="C799" s="252" t="s">
        <v>1120</v>
      </c>
      <c r="D799" s="252" t="s">
        <v>92</v>
      </c>
      <c r="E799" s="252" t="s">
        <v>40</v>
      </c>
      <c r="F799" s="253" t="s">
        <v>21</v>
      </c>
      <c r="G799" s="253" t="s">
        <v>22</v>
      </c>
      <c r="H799" s="254">
        <v>873</v>
      </c>
      <c r="I799" s="254">
        <v>671</v>
      </c>
      <c r="J799" s="254">
        <v>873</v>
      </c>
      <c r="K799" s="254">
        <v>671</v>
      </c>
      <c r="L799" s="254">
        <v>202</v>
      </c>
      <c r="M799" s="254">
        <v>30.104321907600596</v>
      </c>
    </row>
    <row r="800" spans="1:13" ht="25.05" customHeight="1" x14ac:dyDescent="0.3">
      <c r="A800" s="253" t="s">
        <v>1088</v>
      </c>
      <c r="B800" s="252" t="s">
        <v>1121</v>
      </c>
      <c r="C800" s="252">
        <v>0</v>
      </c>
      <c r="D800" s="252">
        <v>0</v>
      </c>
      <c r="E800" s="252" t="s">
        <v>20</v>
      </c>
      <c r="F800" s="253" t="s">
        <v>21</v>
      </c>
      <c r="G800" s="253" t="s">
        <v>22</v>
      </c>
      <c r="H800" s="254">
        <v>4868</v>
      </c>
      <c r="I800" s="254">
        <v>4222</v>
      </c>
      <c r="J800" s="254">
        <v>4868</v>
      </c>
      <c r="K800" s="254">
        <v>4222</v>
      </c>
      <c r="L800" s="254">
        <v>646</v>
      </c>
      <c r="M800" s="254">
        <v>15.300805305542397</v>
      </c>
    </row>
    <row r="801" spans="1:13" ht="25.05" customHeight="1" x14ac:dyDescent="0.3">
      <c r="A801" s="253" t="s">
        <v>1088</v>
      </c>
      <c r="B801" s="252" t="s">
        <v>1122</v>
      </c>
      <c r="C801" s="252" t="s">
        <v>1123</v>
      </c>
      <c r="D801" s="252" t="s">
        <v>72</v>
      </c>
      <c r="E801" s="252" t="s">
        <v>40</v>
      </c>
      <c r="F801" s="253" t="s">
        <v>21</v>
      </c>
      <c r="G801" s="253" t="s">
        <v>22</v>
      </c>
      <c r="H801" s="254">
        <v>1933</v>
      </c>
      <c r="I801" s="254">
        <v>2086</v>
      </c>
      <c r="J801" s="254">
        <v>1933</v>
      </c>
      <c r="K801" s="254">
        <v>2086</v>
      </c>
      <c r="L801" s="254">
        <v>-153</v>
      </c>
      <c r="M801" s="254">
        <v>-7.3346116970278041</v>
      </c>
    </row>
    <row r="802" spans="1:13" ht="25.05" customHeight="1" x14ac:dyDescent="0.3">
      <c r="A802" s="253" t="s">
        <v>1088</v>
      </c>
      <c r="B802" s="252" t="s">
        <v>1124</v>
      </c>
      <c r="C802" s="252" t="s">
        <v>1125</v>
      </c>
      <c r="D802" s="252" t="s">
        <v>72</v>
      </c>
      <c r="E802" s="252" t="s">
        <v>46</v>
      </c>
      <c r="F802" s="253" t="s">
        <v>21</v>
      </c>
      <c r="G802" s="253" t="s">
        <v>22</v>
      </c>
      <c r="H802" s="254">
        <v>376</v>
      </c>
      <c r="I802" s="254">
        <v>192</v>
      </c>
      <c r="J802" s="254">
        <v>376</v>
      </c>
      <c r="K802" s="254">
        <v>192</v>
      </c>
      <c r="L802" s="254">
        <v>184</v>
      </c>
      <c r="M802" s="254">
        <v>95.833333333333343</v>
      </c>
    </row>
    <row r="803" spans="1:13" ht="25.05" customHeight="1" x14ac:dyDescent="0.3">
      <c r="A803" s="253" t="s">
        <v>1088</v>
      </c>
      <c r="B803" s="252" t="s">
        <v>1126</v>
      </c>
      <c r="C803" s="252" t="s">
        <v>1127</v>
      </c>
      <c r="D803" s="252" t="s">
        <v>72</v>
      </c>
      <c r="E803" s="252" t="s">
        <v>40</v>
      </c>
      <c r="F803" s="253" t="s">
        <v>21</v>
      </c>
      <c r="G803" s="253" t="s">
        <v>22</v>
      </c>
      <c r="H803" s="254">
        <v>190</v>
      </c>
      <c r="I803" s="254">
        <v>35</v>
      </c>
      <c r="J803" s="254">
        <v>190</v>
      </c>
      <c r="K803" s="254">
        <v>35</v>
      </c>
      <c r="L803" s="254">
        <v>155</v>
      </c>
      <c r="M803" s="254">
        <v>442.85714285714289</v>
      </c>
    </row>
    <row r="804" spans="1:13" ht="25.05" customHeight="1" x14ac:dyDescent="0.3">
      <c r="A804" s="253" t="s">
        <v>1088</v>
      </c>
      <c r="B804" s="252" t="s">
        <v>177</v>
      </c>
      <c r="C804" s="252">
        <v>0</v>
      </c>
      <c r="D804" s="252" t="s">
        <v>72</v>
      </c>
      <c r="E804" s="252" t="s">
        <v>20</v>
      </c>
      <c r="F804" s="253" t="s">
        <v>21</v>
      </c>
      <c r="G804" s="253" t="s">
        <v>22</v>
      </c>
      <c r="H804" s="254">
        <v>1911</v>
      </c>
      <c r="I804" s="254">
        <v>2463</v>
      </c>
      <c r="J804" s="254">
        <v>1911</v>
      </c>
      <c r="K804" s="254">
        <v>2463</v>
      </c>
      <c r="L804" s="254">
        <v>-552</v>
      </c>
      <c r="M804" s="254">
        <v>-22.411693057247259</v>
      </c>
    </row>
    <row r="805" spans="1:13" ht="25.05" customHeight="1" x14ac:dyDescent="0.3">
      <c r="A805" s="253" t="s">
        <v>1088</v>
      </c>
      <c r="B805" s="252" t="s">
        <v>1128</v>
      </c>
      <c r="C805" s="252">
        <v>0</v>
      </c>
      <c r="D805" s="252" t="s">
        <v>72</v>
      </c>
      <c r="E805" s="252" t="s">
        <v>20</v>
      </c>
      <c r="F805" s="253" t="s">
        <v>21</v>
      </c>
      <c r="G805" s="253" t="s">
        <v>22</v>
      </c>
      <c r="H805" s="254">
        <v>4410</v>
      </c>
      <c r="I805" s="254">
        <v>4776</v>
      </c>
      <c r="J805" s="254">
        <v>4410</v>
      </c>
      <c r="K805" s="254">
        <v>4776</v>
      </c>
      <c r="L805" s="254">
        <v>-366</v>
      </c>
      <c r="M805" s="254">
        <v>-7.6633165829145726</v>
      </c>
    </row>
    <row r="806" spans="1:13" ht="25.05" customHeight="1" x14ac:dyDescent="0.3">
      <c r="A806" s="253" t="s">
        <v>1088</v>
      </c>
      <c r="B806" s="252" t="s">
        <v>1129</v>
      </c>
      <c r="C806" s="252" t="s">
        <v>1074</v>
      </c>
      <c r="D806" s="252" t="s">
        <v>62</v>
      </c>
      <c r="E806" s="252" t="s">
        <v>46</v>
      </c>
      <c r="F806" s="253" t="s">
        <v>21</v>
      </c>
      <c r="G806" s="253" t="s">
        <v>22</v>
      </c>
      <c r="H806" s="254">
        <v>3003</v>
      </c>
      <c r="I806" s="254">
        <v>3223</v>
      </c>
      <c r="J806" s="254">
        <v>3003</v>
      </c>
      <c r="K806" s="254">
        <v>3223</v>
      </c>
      <c r="L806" s="254">
        <v>-220</v>
      </c>
      <c r="M806" s="254">
        <v>-6.8259385665529013</v>
      </c>
    </row>
    <row r="807" spans="1:13" ht="25.05" customHeight="1" x14ac:dyDescent="0.3">
      <c r="A807" s="253" t="s">
        <v>1088</v>
      </c>
      <c r="B807" s="252" t="s">
        <v>1130</v>
      </c>
      <c r="C807" s="252" t="s">
        <v>1131</v>
      </c>
      <c r="D807" s="252" t="s">
        <v>62</v>
      </c>
      <c r="E807" s="252" t="s">
        <v>40</v>
      </c>
      <c r="F807" s="253" t="s">
        <v>21</v>
      </c>
      <c r="G807" s="253" t="s">
        <v>22</v>
      </c>
      <c r="H807" s="254">
        <v>920</v>
      </c>
      <c r="I807" s="254">
        <v>361</v>
      </c>
      <c r="J807" s="254">
        <v>920</v>
      </c>
      <c r="K807" s="254">
        <v>361</v>
      </c>
      <c r="L807" s="254">
        <v>559</v>
      </c>
      <c r="M807" s="254">
        <v>154.8476454293629</v>
      </c>
    </row>
    <row r="808" spans="1:13" ht="25.05" customHeight="1" x14ac:dyDescent="0.3">
      <c r="A808" s="253" t="s">
        <v>1088</v>
      </c>
      <c r="B808" s="252" t="s">
        <v>1132</v>
      </c>
      <c r="C808" s="252" t="s">
        <v>1133</v>
      </c>
      <c r="D808" s="252" t="s">
        <v>62</v>
      </c>
      <c r="E808" s="252" t="s">
        <v>46</v>
      </c>
      <c r="F808" s="253" t="s">
        <v>21</v>
      </c>
      <c r="G808" s="253" t="s">
        <v>22</v>
      </c>
      <c r="H808" s="254">
        <v>170</v>
      </c>
      <c r="I808" s="254">
        <v>26</v>
      </c>
      <c r="J808" s="254">
        <v>170</v>
      </c>
      <c r="K808" s="254">
        <v>26</v>
      </c>
      <c r="L808" s="254">
        <v>144</v>
      </c>
      <c r="M808" s="254">
        <v>553.84615384615381</v>
      </c>
    </row>
    <row r="809" spans="1:13" ht="25.05" customHeight="1" x14ac:dyDescent="0.3">
      <c r="A809" s="253" t="s">
        <v>1088</v>
      </c>
      <c r="B809" s="252" t="s">
        <v>130</v>
      </c>
      <c r="C809" s="252" t="s">
        <v>131</v>
      </c>
      <c r="D809" s="252" t="s">
        <v>62</v>
      </c>
      <c r="E809" s="252" t="s">
        <v>40</v>
      </c>
      <c r="F809" s="253" t="s">
        <v>21</v>
      </c>
      <c r="G809" s="253" t="s">
        <v>22</v>
      </c>
      <c r="H809" s="254">
        <v>164</v>
      </c>
      <c r="I809" s="254">
        <v>103</v>
      </c>
      <c r="J809" s="254">
        <v>164</v>
      </c>
      <c r="K809" s="254">
        <v>103</v>
      </c>
      <c r="L809" s="254">
        <v>61</v>
      </c>
      <c r="M809" s="254">
        <v>59.22330097087378</v>
      </c>
    </row>
    <row r="810" spans="1:13" ht="25.05" customHeight="1" x14ac:dyDescent="0.3">
      <c r="A810" s="253" t="s">
        <v>1088</v>
      </c>
      <c r="B810" s="252" t="s">
        <v>1134</v>
      </c>
      <c r="C810" s="252" t="s">
        <v>1135</v>
      </c>
      <c r="D810" s="252" t="s">
        <v>62</v>
      </c>
      <c r="E810" s="252" t="s">
        <v>40</v>
      </c>
      <c r="F810" s="253" t="s">
        <v>21</v>
      </c>
      <c r="G810" s="253" t="s">
        <v>22</v>
      </c>
      <c r="H810" s="254">
        <v>15</v>
      </c>
      <c r="I810" s="254">
        <v>0</v>
      </c>
      <c r="J810" s="254">
        <v>15</v>
      </c>
      <c r="K810" s="254">
        <v>0</v>
      </c>
      <c r="L810" s="254">
        <v>15</v>
      </c>
      <c r="M810" s="254" t="s">
        <v>67</v>
      </c>
    </row>
    <row r="811" spans="1:13" ht="25.05" customHeight="1" x14ac:dyDescent="0.3">
      <c r="A811" s="253" t="s">
        <v>1088</v>
      </c>
      <c r="B811" s="252" t="s">
        <v>23</v>
      </c>
      <c r="C811" s="252">
        <v>0</v>
      </c>
      <c r="D811" s="252" t="s">
        <v>62</v>
      </c>
      <c r="E811" s="252" t="s">
        <v>20</v>
      </c>
      <c r="F811" s="253" t="s">
        <v>21</v>
      </c>
      <c r="G811" s="253" t="s">
        <v>22</v>
      </c>
      <c r="H811" s="254">
        <v>51</v>
      </c>
      <c r="I811" s="254">
        <v>60</v>
      </c>
      <c r="J811" s="254">
        <v>51</v>
      </c>
      <c r="K811" s="254">
        <v>60</v>
      </c>
      <c r="L811" s="254">
        <v>-9</v>
      </c>
      <c r="M811" s="254">
        <v>-15</v>
      </c>
    </row>
    <row r="812" spans="1:13" ht="25.05" customHeight="1" x14ac:dyDescent="0.3">
      <c r="A812" s="253" t="s">
        <v>1088</v>
      </c>
      <c r="B812" s="252" t="s">
        <v>633</v>
      </c>
      <c r="C812" s="252">
        <v>0</v>
      </c>
      <c r="D812" s="252" t="s">
        <v>62</v>
      </c>
      <c r="E812" s="252" t="s">
        <v>20</v>
      </c>
      <c r="F812" s="253" t="s">
        <v>21</v>
      </c>
      <c r="G812" s="253" t="s">
        <v>22</v>
      </c>
      <c r="H812" s="254">
        <v>4323</v>
      </c>
      <c r="I812" s="254">
        <v>3773</v>
      </c>
      <c r="J812" s="254">
        <v>4323</v>
      </c>
      <c r="K812" s="254">
        <v>3773</v>
      </c>
      <c r="L812" s="254">
        <v>550</v>
      </c>
      <c r="M812" s="254">
        <v>14.577259475218659</v>
      </c>
    </row>
    <row r="813" spans="1:13" ht="25.05" customHeight="1" x14ac:dyDescent="0.3">
      <c r="A813" s="253" t="s">
        <v>1088</v>
      </c>
      <c r="B813" s="252" t="s">
        <v>1136</v>
      </c>
      <c r="C813" s="252" t="s">
        <v>1137</v>
      </c>
      <c r="D813" s="252" t="s">
        <v>129</v>
      </c>
      <c r="E813" s="252" t="s">
        <v>46</v>
      </c>
      <c r="F813" s="253" t="s">
        <v>21</v>
      </c>
      <c r="G813" s="253" t="s">
        <v>22</v>
      </c>
      <c r="H813" s="254">
        <v>2497</v>
      </c>
      <c r="I813" s="254">
        <v>1726</v>
      </c>
      <c r="J813" s="254">
        <v>2497</v>
      </c>
      <c r="K813" s="254">
        <v>1726</v>
      </c>
      <c r="L813" s="254">
        <v>771</v>
      </c>
      <c r="M813" s="254">
        <v>44.669756662804176</v>
      </c>
    </row>
    <row r="814" spans="1:13" ht="25.05" customHeight="1" x14ac:dyDescent="0.3">
      <c r="A814" s="253" t="s">
        <v>1088</v>
      </c>
      <c r="B814" s="252" t="s">
        <v>23</v>
      </c>
      <c r="C814" s="252">
        <v>0</v>
      </c>
      <c r="D814" s="252" t="s">
        <v>129</v>
      </c>
      <c r="E814" s="252" t="s">
        <v>20</v>
      </c>
      <c r="F814" s="253" t="s">
        <v>21</v>
      </c>
      <c r="G814" s="253" t="s">
        <v>22</v>
      </c>
      <c r="H814" s="254">
        <v>1</v>
      </c>
      <c r="I814" s="254">
        <v>24</v>
      </c>
      <c r="J814" s="254">
        <v>1</v>
      </c>
      <c r="K814" s="254">
        <v>24</v>
      </c>
      <c r="L814" s="254">
        <v>-23</v>
      </c>
      <c r="M814" s="254">
        <v>-95.833333333333343</v>
      </c>
    </row>
    <row r="815" spans="1:13" ht="25.05" customHeight="1" x14ac:dyDescent="0.3">
      <c r="A815" s="253" t="s">
        <v>1088</v>
      </c>
      <c r="B815" s="252" t="s">
        <v>1138</v>
      </c>
      <c r="C815" s="252">
        <v>0</v>
      </c>
      <c r="D815" s="252" t="s">
        <v>129</v>
      </c>
      <c r="E815" s="252" t="s">
        <v>20</v>
      </c>
      <c r="F815" s="253" t="s">
        <v>21</v>
      </c>
      <c r="G815" s="253" t="s">
        <v>22</v>
      </c>
      <c r="H815" s="254">
        <v>2498</v>
      </c>
      <c r="I815" s="254">
        <v>1750</v>
      </c>
      <c r="J815" s="254">
        <v>2498</v>
      </c>
      <c r="K815" s="254">
        <v>1750</v>
      </c>
      <c r="L815" s="254">
        <v>748</v>
      </c>
      <c r="M815" s="254">
        <v>42.74285714285714</v>
      </c>
    </row>
    <row r="816" spans="1:13" ht="25.05" customHeight="1" x14ac:dyDescent="0.3">
      <c r="A816" s="253" t="s">
        <v>1088</v>
      </c>
      <c r="B816" s="252" t="s">
        <v>1139</v>
      </c>
      <c r="C816" s="252" t="s">
        <v>1140</v>
      </c>
      <c r="D816" s="252" t="s">
        <v>221</v>
      </c>
      <c r="E816" s="252" t="s">
        <v>40</v>
      </c>
      <c r="F816" s="253" t="s">
        <v>21</v>
      </c>
      <c r="G816" s="253" t="s">
        <v>22</v>
      </c>
      <c r="H816" s="254">
        <v>1251</v>
      </c>
      <c r="I816" s="254">
        <v>1173</v>
      </c>
      <c r="J816" s="254">
        <v>1251</v>
      </c>
      <c r="K816" s="254">
        <v>1173</v>
      </c>
      <c r="L816" s="254">
        <v>78</v>
      </c>
      <c r="M816" s="254">
        <v>6.6496163682864458</v>
      </c>
    </row>
    <row r="817" spans="1:13" ht="25.05" customHeight="1" x14ac:dyDescent="0.3">
      <c r="A817" s="253" t="s">
        <v>1088</v>
      </c>
      <c r="B817" s="252" t="s">
        <v>1141</v>
      </c>
      <c r="C817" s="252" t="s">
        <v>1142</v>
      </c>
      <c r="D817" s="252" t="s">
        <v>221</v>
      </c>
      <c r="E817" s="252" t="s">
        <v>46</v>
      </c>
      <c r="F817" s="253" t="s">
        <v>21</v>
      </c>
      <c r="G817" s="253" t="s">
        <v>22</v>
      </c>
      <c r="H817" s="254">
        <v>623</v>
      </c>
      <c r="I817" s="254">
        <v>630</v>
      </c>
      <c r="J817" s="254">
        <v>623</v>
      </c>
      <c r="K817" s="254">
        <v>630</v>
      </c>
      <c r="L817" s="254">
        <v>-7</v>
      </c>
      <c r="M817" s="254">
        <v>-1.1111111111111112</v>
      </c>
    </row>
    <row r="818" spans="1:13" ht="25.05" customHeight="1" x14ac:dyDescent="0.3">
      <c r="A818" s="253" t="s">
        <v>1088</v>
      </c>
      <c r="B818" s="252" t="s">
        <v>23</v>
      </c>
      <c r="C818" s="252">
        <v>0</v>
      </c>
      <c r="D818" s="252" t="s">
        <v>221</v>
      </c>
      <c r="E818" s="252" t="s">
        <v>20</v>
      </c>
      <c r="F818" s="253" t="s">
        <v>21</v>
      </c>
      <c r="G818" s="253" t="s">
        <v>22</v>
      </c>
      <c r="H818" s="254">
        <v>26</v>
      </c>
      <c r="I818" s="254">
        <v>22</v>
      </c>
      <c r="J818" s="254">
        <v>26</v>
      </c>
      <c r="K818" s="254">
        <v>22</v>
      </c>
      <c r="L818" s="254">
        <v>4</v>
      </c>
      <c r="M818" s="254">
        <v>18.181818181818183</v>
      </c>
    </row>
    <row r="819" spans="1:13" ht="25.05" customHeight="1" x14ac:dyDescent="0.3">
      <c r="A819" s="253" t="s">
        <v>1088</v>
      </c>
      <c r="B819" s="252" t="s">
        <v>679</v>
      </c>
      <c r="C819" s="252">
        <v>0</v>
      </c>
      <c r="D819" s="252" t="s">
        <v>221</v>
      </c>
      <c r="E819" s="252" t="s">
        <v>20</v>
      </c>
      <c r="F819" s="253" t="s">
        <v>21</v>
      </c>
      <c r="G819" s="253" t="s">
        <v>22</v>
      </c>
      <c r="H819" s="254">
        <v>1900</v>
      </c>
      <c r="I819" s="254">
        <v>1825</v>
      </c>
      <c r="J819" s="254">
        <v>1900</v>
      </c>
      <c r="K819" s="254">
        <v>1825</v>
      </c>
      <c r="L819" s="254">
        <v>75</v>
      </c>
      <c r="M819" s="254">
        <v>4.10958904109589</v>
      </c>
    </row>
    <row r="820" spans="1:13" ht="25.05" customHeight="1" x14ac:dyDescent="0.3">
      <c r="A820" s="253" t="s">
        <v>1088</v>
      </c>
      <c r="B820" s="252" t="s">
        <v>1143</v>
      </c>
      <c r="C820" s="252" t="s">
        <v>1144</v>
      </c>
      <c r="D820" s="252" t="s">
        <v>201</v>
      </c>
      <c r="E820" s="252" t="s">
        <v>46</v>
      </c>
      <c r="F820" s="253" t="s">
        <v>21</v>
      </c>
      <c r="G820" s="253" t="s">
        <v>22</v>
      </c>
      <c r="H820" s="254">
        <v>1199</v>
      </c>
      <c r="I820" s="254">
        <v>1297</v>
      </c>
      <c r="J820" s="254">
        <v>1199</v>
      </c>
      <c r="K820" s="254">
        <v>1297</v>
      </c>
      <c r="L820" s="254">
        <v>-98</v>
      </c>
      <c r="M820" s="254">
        <v>-7.5558982266769465</v>
      </c>
    </row>
    <row r="821" spans="1:13" ht="25.05" customHeight="1" x14ac:dyDescent="0.3">
      <c r="A821" s="253" t="s">
        <v>1088</v>
      </c>
      <c r="B821" s="252" t="s">
        <v>1145</v>
      </c>
      <c r="C821" s="252" t="s">
        <v>1146</v>
      </c>
      <c r="D821" s="252" t="s">
        <v>129</v>
      </c>
      <c r="E821" s="252" t="s">
        <v>46</v>
      </c>
      <c r="F821" s="253" t="s">
        <v>21</v>
      </c>
      <c r="G821" s="253" t="s">
        <v>22</v>
      </c>
      <c r="H821" s="254">
        <v>1003</v>
      </c>
      <c r="I821" s="254">
        <v>1064</v>
      </c>
      <c r="J821" s="254">
        <v>1003</v>
      </c>
      <c r="K821" s="254">
        <v>1064</v>
      </c>
      <c r="L821" s="254">
        <v>-61</v>
      </c>
      <c r="M821" s="254">
        <v>-5.7330827067669166</v>
      </c>
    </row>
    <row r="822" spans="1:13" ht="25.05" customHeight="1" x14ac:dyDescent="0.3">
      <c r="A822" s="253" t="s">
        <v>1088</v>
      </c>
      <c r="B822" s="252" t="s">
        <v>1147</v>
      </c>
      <c r="C822" s="252" t="s">
        <v>1148</v>
      </c>
      <c r="D822" s="252" t="s">
        <v>129</v>
      </c>
      <c r="E822" s="252" t="s">
        <v>46</v>
      </c>
      <c r="F822" s="253" t="s">
        <v>21</v>
      </c>
      <c r="G822" s="253" t="s">
        <v>22</v>
      </c>
      <c r="H822" s="254">
        <v>980</v>
      </c>
      <c r="I822" s="254">
        <v>1025</v>
      </c>
      <c r="J822" s="254">
        <v>980</v>
      </c>
      <c r="K822" s="254">
        <v>1025</v>
      </c>
      <c r="L822" s="254">
        <v>-45</v>
      </c>
      <c r="M822" s="254">
        <v>-4.3902439024390238</v>
      </c>
    </row>
    <row r="823" spans="1:13" ht="25.05" customHeight="1" x14ac:dyDescent="0.3">
      <c r="A823" s="253" t="s">
        <v>1088</v>
      </c>
      <c r="B823" s="252" t="s">
        <v>1149</v>
      </c>
      <c r="C823" s="252" t="s">
        <v>1100</v>
      </c>
      <c r="D823" s="252" t="s">
        <v>43</v>
      </c>
      <c r="E823" s="252" t="s">
        <v>46</v>
      </c>
      <c r="F823" s="253" t="s">
        <v>21</v>
      </c>
      <c r="G823" s="253" t="s">
        <v>22</v>
      </c>
      <c r="H823" s="254">
        <v>452</v>
      </c>
      <c r="I823" s="254">
        <v>485</v>
      </c>
      <c r="J823" s="254">
        <v>452</v>
      </c>
      <c r="K823" s="254">
        <v>485</v>
      </c>
      <c r="L823" s="254">
        <v>-33</v>
      </c>
      <c r="M823" s="254">
        <v>-6.804123711340206</v>
      </c>
    </row>
    <row r="824" spans="1:13" ht="25.05" customHeight="1" x14ac:dyDescent="0.3">
      <c r="A824" s="253" t="s">
        <v>1088</v>
      </c>
      <c r="B824" s="252" t="s">
        <v>1150</v>
      </c>
      <c r="C824" s="252" t="s">
        <v>1151</v>
      </c>
      <c r="D824" s="252" t="s">
        <v>62</v>
      </c>
      <c r="E824" s="252" t="s">
        <v>46</v>
      </c>
      <c r="F824" s="253" t="s">
        <v>21</v>
      </c>
      <c r="G824" s="253" t="s">
        <v>22</v>
      </c>
      <c r="H824" s="254">
        <v>393</v>
      </c>
      <c r="I824" s="254">
        <v>419</v>
      </c>
      <c r="J824" s="254">
        <v>393</v>
      </c>
      <c r="K824" s="254">
        <v>419</v>
      </c>
      <c r="L824" s="254">
        <v>-26</v>
      </c>
      <c r="M824" s="254">
        <v>-6.2052505966587113</v>
      </c>
    </row>
    <row r="825" spans="1:13" ht="25.05" customHeight="1" x14ac:dyDescent="0.3">
      <c r="A825" s="253" t="s">
        <v>1088</v>
      </c>
      <c r="B825" s="252" t="s">
        <v>1152</v>
      </c>
      <c r="C825" s="252" t="s">
        <v>1153</v>
      </c>
      <c r="D825" s="252" t="s">
        <v>89</v>
      </c>
      <c r="E825" s="252" t="s">
        <v>46</v>
      </c>
      <c r="F825" s="253" t="s">
        <v>21</v>
      </c>
      <c r="G825" s="253" t="s">
        <v>22</v>
      </c>
      <c r="H825" s="254">
        <v>360</v>
      </c>
      <c r="I825" s="254">
        <v>417</v>
      </c>
      <c r="J825" s="254">
        <v>360</v>
      </c>
      <c r="K825" s="254">
        <v>417</v>
      </c>
      <c r="L825" s="254">
        <v>-57</v>
      </c>
      <c r="M825" s="254">
        <v>-13.669064748201439</v>
      </c>
    </row>
    <row r="826" spans="1:13" ht="25.05" customHeight="1" x14ac:dyDescent="0.3">
      <c r="A826" s="253" t="s">
        <v>1088</v>
      </c>
      <c r="B826" s="252" t="s">
        <v>23</v>
      </c>
      <c r="C826" s="252">
        <v>0</v>
      </c>
      <c r="D826" s="252">
        <v>0</v>
      </c>
      <c r="E826" s="252" t="s">
        <v>20</v>
      </c>
      <c r="F826" s="253" t="s">
        <v>21</v>
      </c>
      <c r="G826" s="253" t="s">
        <v>22</v>
      </c>
      <c r="H826" s="254">
        <v>1916</v>
      </c>
      <c r="I826" s="254">
        <v>2291</v>
      </c>
      <c r="J826" s="254">
        <v>1916</v>
      </c>
      <c r="K826" s="254">
        <v>2291</v>
      </c>
      <c r="L826" s="254">
        <v>-375</v>
      </c>
      <c r="M826" s="254">
        <v>-16.368398079441292</v>
      </c>
    </row>
    <row r="827" spans="1:13" ht="25.05" customHeight="1" x14ac:dyDescent="0.3">
      <c r="A827" s="253" t="s">
        <v>1088</v>
      </c>
      <c r="B827" s="252" t="s">
        <v>1154</v>
      </c>
      <c r="C827" s="252">
        <v>0</v>
      </c>
      <c r="D827" s="252">
        <v>0</v>
      </c>
      <c r="E827" s="252" t="s">
        <v>20</v>
      </c>
      <c r="F827" s="253" t="s">
        <v>21</v>
      </c>
      <c r="G827" s="253" t="s">
        <v>22</v>
      </c>
      <c r="H827" s="254">
        <v>6303</v>
      </c>
      <c r="I827" s="254">
        <v>6998</v>
      </c>
      <c r="J827" s="254">
        <v>6303</v>
      </c>
      <c r="K827" s="254">
        <v>6998</v>
      </c>
      <c r="L827" s="254">
        <v>-695</v>
      </c>
      <c r="M827" s="254">
        <v>-9.9314089739925695</v>
      </c>
    </row>
    <row r="828" spans="1:13" ht="25.05" customHeight="1" x14ac:dyDescent="0.3">
      <c r="A828" s="253" t="s">
        <v>1088</v>
      </c>
      <c r="B828" s="252" t="s">
        <v>1155</v>
      </c>
      <c r="C828" s="252">
        <v>0</v>
      </c>
      <c r="D828" s="252">
        <v>0</v>
      </c>
      <c r="E828" s="252" t="s">
        <v>20</v>
      </c>
      <c r="F828" s="253" t="s">
        <v>21</v>
      </c>
      <c r="G828" s="253" t="s">
        <v>22</v>
      </c>
      <c r="H828" s="254">
        <v>24302</v>
      </c>
      <c r="I828" s="254">
        <v>23344</v>
      </c>
      <c r="J828" s="254">
        <v>24302</v>
      </c>
      <c r="K828" s="254">
        <v>23344</v>
      </c>
      <c r="L828" s="254">
        <v>958</v>
      </c>
      <c r="M828" s="254">
        <v>4.1038382453735434</v>
      </c>
    </row>
    <row r="829" spans="1:13" ht="25.05" customHeight="1" x14ac:dyDescent="0.3">
      <c r="A829" s="253" t="s">
        <v>1088</v>
      </c>
      <c r="B829" s="252" t="s">
        <v>1156</v>
      </c>
      <c r="C829" s="252">
        <v>0</v>
      </c>
      <c r="D829" s="252">
        <v>0</v>
      </c>
      <c r="E829" s="252" t="s">
        <v>20</v>
      </c>
      <c r="F829" s="253" t="s">
        <v>21</v>
      </c>
      <c r="G829" s="253" t="s">
        <v>22</v>
      </c>
      <c r="H829" s="254">
        <v>39013</v>
      </c>
      <c r="I829" s="254">
        <v>37714</v>
      </c>
      <c r="J829" s="254">
        <v>39013</v>
      </c>
      <c r="K829" s="254">
        <v>37714</v>
      </c>
      <c r="L829" s="254">
        <v>1299</v>
      </c>
      <c r="M829" s="254">
        <v>3.444344275335419</v>
      </c>
    </row>
    <row r="830" spans="1:13" ht="25.05" customHeight="1" x14ac:dyDescent="0.3">
      <c r="A830" s="253" t="s">
        <v>1088</v>
      </c>
      <c r="B830" s="252" t="s">
        <v>1157</v>
      </c>
      <c r="C830" s="252">
        <v>0</v>
      </c>
      <c r="D830" s="252">
        <v>0</v>
      </c>
      <c r="E830" s="252" t="s">
        <v>20</v>
      </c>
      <c r="F830" s="253" t="s">
        <v>21</v>
      </c>
      <c r="G830" s="253" t="s">
        <v>22</v>
      </c>
      <c r="H830" s="254">
        <v>9646</v>
      </c>
      <c r="I830" s="254">
        <v>9731</v>
      </c>
      <c r="J830" s="254">
        <v>9646</v>
      </c>
      <c r="K830" s="254">
        <v>9731</v>
      </c>
      <c r="L830" s="254">
        <v>-85</v>
      </c>
      <c r="M830" s="254">
        <v>-0.87349707121570241</v>
      </c>
    </row>
    <row r="831" spans="1:13" ht="25.05" customHeight="1" x14ac:dyDescent="0.3">
      <c r="A831" s="267" t="s">
        <v>1088</v>
      </c>
      <c r="B831" s="268" t="s">
        <v>1158</v>
      </c>
      <c r="C831" s="268">
        <v>0</v>
      </c>
      <c r="D831" s="268">
        <v>0</v>
      </c>
      <c r="E831" s="268" t="s">
        <v>20</v>
      </c>
      <c r="F831" s="267" t="s">
        <v>21</v>
      </c>
      <c r="G831" s="267" t="s">
        <v>22</v>
      </c>
      <c r="H831" s="269">
        <v>48659</v>
      </c>
      <c r="I831" s="269">
        <v>47445</v>
      </c>
      <c r="J831" s="269">
        <v>48659</v>
      </c>
      <c r="K831" s="269">
        <v>47445</v>
      </c>
      <c r="L831" s="269">
        <v>1214</v>
      </c>
      <c r="M831" s="269">
        <v>2.5587522394351354</v>
      </c>
    </row>
    <row r="832" spans="1:13" ht="25.05" customHeight="1" x14ac:dyDescent="0.3">
      <c r="A832" s="253" t="s">
        <v>1159</v>
      </c>
      <c r="B832" s="252" t="s">
        <v>1786</v>
      </c>
      <c r="C832" s="252">
        <v>0</v>
      </c>
      <c r="D832" s="252" t="s">
        <v>201</v>
      </c>
      <c r="E832" s="252" t="s">
        <v>20</v>
      </c>
      <c r="F832" s="253" t="s">
        <v>307</v>
      </c>
      <c r="G832" s="253" t="s">
        <v>22</v>
      </c>
      <c r="H832" s="254">
        <v>18439</v>
      </c>
      <c r="I832" s="254">
        <v>20776</v>
      </c>
      <c r="J832" s="254">
        <v>2999.048033</v>
      </c>
      <c r="K832" s="254">
        <v>3379.1540720000003</v>
      </c>
      <c r="L832" s="254">
        <v>-380.10603900000024</v>
      </c>
      <c r="M832" s="254">
        <v>-11.248556026184065</v>
      </c>
    </row>
    <row r="833" spans="1:13" ht="25.05" customHeight="1" x14ac:dyDescent="0.3">
      <c r="A833" s="253" t="s">
        <v>1159</v>
      </c>
      <c r="B833" s="252" t="s">
        <v>1160</v>
      </c>
      <c r="C833" s="252" t="s">
        <v>1161</v>
      </c>
      <c r="D833" s="252" t="s">
        <v>201</v>
      </c>
      <c r="E833" s="252" t="s">
        <v>40</v>
      </c>
      <c r="F833" s="253" t="s">
        <v>307</v>
      </c>
      <c r="G833" s="253" t="s">
        <v>22</v>
      </c>
      <c r="H833" s="254">
        <v>8968</v>
      </c>
      <c r="I833" s="254">
        <v>9259</v>
      </c>
      <c r="J833" s="254">
        <v>1458.6182960000001</v>
      </c>
      <c r="K833" s="254">
        <v>1505.9485730000001</v>
      </c>
      <c r="L833" s="254">
        <v>-47.330277000000024</v>
      </c>
      <c r="M833" s="254">
        <v>-3.1428880008640254</v>
      </c>
    </row>
    <row r="834" spans="1:13" ht="25.05" customHeight="1" x14ac:dyDescent="0.3">
      <c r="A834" s="253" t="s">
        <v>1159</v>
      </c>
      <c r="B834" s="252" t="s">
        <v>1162</v>
      </c>
      <c r="C834" s="252" t="s">
        <v>1163</v>
      </c>
      <c r="D834" s="252" t="s">
        <v>201</v>
      </c>
      <c r="E834" s="252" t="s">
        <v>40</v>
      </c>
      <c r="F834" s="253" t="s">
        <v>307</v>
      </c>
      <c r="G834" s="253" t="s">
        <v>22</v>
      </c>
      <c r="H834" s="254">
        <v>2444</v>
      </c>
      <c r="I834" s="254">
        <v>2210</v>
      </c>
      <c r="J834" s="254">
        <v>397.50926800000002</v>
      </c>
      <c r="K834" s="254">
        <v>359.44987000000003</v>
      </c>
      <c r="L834" s="254">
        <v>38.059397999999987</v>
      </c>
      <c r="M834" s="254">
        <v>10.588235294117643</v>
      </c>
    </row>
    <row r="835" spans="1:13" ht="25.05" customHeight="1" x14ac:dyDescent="0.3">
      <c r="A835" s="253" t="s">
        <v>1159</v>
      </c>
      <c r="B835" s="252" t="s">
        <v>1164</v>
      </c>
      <c r="C835" s="252" t="s">
        <v>1165</v>
      </c>
      <c r="D835" s="252" t="s">
        <v>201</v>
      </c>
      <c r="E835" s="252" t="s">
        <v>40</v>
      </c>
      <c r="F835" s="253" t="s">
        <v>307</v>
      </c>
      <c r="G835" s="253" t="s">
        <v>22</v>
      </c>
      <c r="H835" s="254">
        <v>7027</v>
      </c>
      <c r="I835" s="254">
        <v>9307</v>
      </c>
      <c r="J835" s="254">
        <v>1142.9204690000001</v>
      </c>
      <c r="K835" s="254">
        <v>1513.7556290000002</v>
      </c>
      <c r="L835" s="254">
        <v>-370.83516000000009</v>
      </c>
      <c r="M835" s="254">
        <v>-24.497689910819815</v>
      </c>
    </row>
    <row r="836" spans="1:13" ht="25.05" customHeight="1" x14ac:dyDescent="0.3">
      <c r="A836" s="253" t="s">
        <v>1159</v>
      </c>
      <c r="B836" s="252" t="s">
        <v>1166</v>
      </c>
      <c r="C836" s="252">
        <v>0</v>
      </c>
      <c r="D836" s="252" t="s">
        <v>201</v>
      </c>
      <c r="E836" s="252" t="s">
        <v>20</v>
      </c>
      <c r="F836" s="253" t="s">
        <v>307</v>
      </c>
      <c r="G836" s="253" t="s">
        <v>22</v>
      </c>
      <c r="H836" s="254">
        <v>10925</v>
      </c>
      <c r="I836" s="254">
        <v>10578</v>
      </c>
      <c r="J836" s="254">
        <v>1776.9184750000002</v>
      </c>
      <c r="K836" s="254">
        <v>1720.4799660000001</v>
      </c>
      <c r="L836" s="254">
        <v>56.438509000000067</v>
      </c>
      <c r="M836" s="254">
        <v>3.2803932690489734</v>
      </c>
    </row>
    <row r="837" spans="1:13" ht="25.05" customHeight="1" x14ac:dyDescent="0.3">
      <c r="A837" s="253" t="s">
        <v>1159</v>
      </c>
      <c r="B837" s="252" t="s">
        <v>1167</v>
      </c>
      <c r="C837" s="252" t="s">
        <v>1168</v>
      </c>
      <c r="D837" s="252" t="s">
        <v>201</v>
      </c>
      <c r="E837" s="252" t="s">
        <v>40</v>
      </c>
      <c r="F837" s="253" t="s">
        <v>307</v>
      </c>
      <c r="G837" s="253" t="s">
        <v>22</v>
      </c>
      <c r="H837" s="254">
        <v>1291</v>
      </c>
      <c r="I837" s="254">
        <v>993</v>
      </c>
      <c r="J837" s="254">
        <v>209.97727700000002</v>
      </c>
      <c r="K837" s="254">
        <v>161.50847100000001</v>
      </c>
      <c r="L837" s="254">
        <v>48.468806000000001</v>
      </c>
      <c r="M837" s="254">
        <v>30.010070493454176</v>
      </c>
    </row>
    <row r="838" spans="1:13" ht="25.05" customHeight="1" x14ac:dyDescent="0.3">
      <c r="A838" s="253" t="s">
        <v>1159</v>
      </c>
      <c r="B838" s="252" t="s">
        <v>1169</v>
      </c>
      <c r="C838" s="252" t="s">
        <v>1170</v>
      </c>
      <c r="D838" s="252" t="s">
        <v>201</v>
      </c>
      <c r="E838" s="252" t="s">
        <v>40</v>
      </c>
      <c r="F838" s="253" t="s">
        <v>307</v>
      </c>
      <c r="G838" s="253" t="s">
        <v>22</v>
      </c>
      <c r="H838" s="254">
        <v>9634</v>
      </c>
      <c r="I838" s="254">
        <v>9585</v>
      </c>
      <c r="J838" s="254">
        <v>1566.9411980000002</v>
      </c>
      <c r="K838" s="254">
        <v>1558.9714950000002</v>
      </c>
      <c r="L838" s="254">
        <v>7.9697029999999813</v>
      </c>
      <c r="M838" s="254">
        <v>0.51121544079290426</v>
      </c>
    </row>
    <row r="839" spans="1:13" ht="25.05" customHeight="1" x14ac:dyDescent="0.3">
      <c r="A839" s="253" t="s">
        <v>1159</v>
      </c>
      <c r="B839" s="252" t="s">
        <v>1171</v>
      </c>
      <c r="C839" s="252">
        <v>0</v>
      </c>
      <c r="D839" s="252" t="s">
        <v>201</v>
      </c>
      <c r="E839" s="252" t="s">
        <v>20</v>
      </c>
      <c r="F839" s="253" t="s">
        <v>307</v>
      </c>
      <c r="G839" s="253" t="s">
        <v>22</v>
      </c>
      <c r="H839" s="254">
        <v>18313</v>
      </c>
      <c r="I839" s="254">
        <v>19303</v>
      </c>
      <c r="J839" s="254">
        <v>2978.5545110000003</v>
      </c>
      <c r="K839" s="254">
        <v>3139.5750410000001</v>
      </c>
      <c r="L839" s="254">
        <v>-161.02052999999978</v>
      </c>
      <c r="M839" s="254">
        <v>-5.1287364658343195</v>
      </c>
    </row>
    <row r="840" spans="1:13" ht="25.05" customHeight="1" x14ac:dyDescent="0.3">
      <c r="A840" s="253" t="s">
        <v>1159</v>
      </c>
      <c r="B840" s="252" t="s">
        <v>1172</v>
      </c>
      <c r="C840" s="252" t="s">
        <v>1173</v>
      </c>
      <c r="D840" s="252" t="s">
        <v>201</v>
      </c>
      <c r="E840" s="252" t="s">
        <v>40</v>
      </c>
      <c r="F840" s="253" t="s">
        <v>307</v>
      </c>
      <c r="G840" s="253" t="s">
        <v>22</v>
      </c>
      <c r="H840" s="254">
        <v>1385</v>
      </c>
      <c r="I840" s="254">
        <v>1243</v>
      </c>
      <c r="J840" s="254">
        <v>225.26609500000001</v>
      </c>
      <c r="K840" s="254">
        <v>202.17022100000003</v>
      </c>
      <c r="L840" s="254">
        <v>23.095873999999981</v>
      </c>
      <c r="M840" s="254">
        <v>11.423974255832652</v>
      </c>
    </row>
    <row r="841" spans="1:13" ht="25.05" customHeight="1" x14ac:dyDescent="0.3">
      <c r="A841" s="253" t="s">
        <v>1159</v>
      </c>
      <c r="B841" s="252" t="s">
        <v>1174</v>
      </c>
      <c r="C841" s="252" t="s">
        <v>1173</v>
      </c>
      <c r="D841" s="252" t="s">
        <v>201</v>
      </c>
      <c r="E841" s="252" t="s">
        <v>40</v>
      </c>
      <c r="F841" s="253" t="s">
        <v>307</v>
      </c>
      <c r="G841" s="253" t="s">
        <v>22</v>
      </c>
      <c r="H841" s="254">
        <v>16928</v>
      </c>
      <c r="I841" s="254">
        <v>18060</v>
      </c>
      <c r="J841" s="254">
        <v>2753.2884160000003</v>
      </c>
      <c r="K841" s="254">
        <v>2937.4048200000002</v>
      </c>
      <c r="L841" s="254">
        <v>-184.11640399999987</v>
      </c>
      <c r="M841" s="254">
        <v>-6.2679955703211467</v>
      </c>
    </row>
    <row r="842" spans="1:13" ht="25.05" customHeight="1" x14ac:dyDescent="0.3">
      <c r="A842" s="253" t="s">
        <v>1159</v>
      </c>
      <c r="B842" s="252" t="s">
        <v>1175</v>
      </c>
      <c r="C842" s="252" t="s">
        <v>1176</v>
      </c>
      <c r="D842" s="252" t="s">
        <v>201</v>
      </c>
      <c r="E842" s="252" t="s">
        <v>40</v>
      </c>
      <c r="F842" s="253" t="s">
        <v>307</v>
      </c>
      <c r="G842" s="253" t="s">
        <v>22</v>
      </c>
      <c r="H842" s="254">
        <v>8873</v>
      </c>
      <c r="I842" s="254">
        <v>9036</v>
      </c>
      <c r="J842" s="254">
        <v>1443.1668310000002</v>
      </c>
      <c r="K842" s="254">
        <v>1469.6782920000001</v>
      </c>
      <c r="L842" s="254">
        <v>-26.511460999999827</v>
      </c>
      <c r="M842" s="254">
        <v>-1.8038955289951186</v>
      </c>
    </row>
    <row r="843" spans="1:13" ht="25.05" customHeight="1" x14ac:dyDescent="0.3">
      <c r="A843" s="253" t="s">
        <v>1159</v>
      </c>
      <c r="B843" s="252" t="s">
        <v>1177</v>
      </c>
      <c r="C843" s="252">
        <v>0</v>
      </c>
      <c r="D843" s="252" t="s">
        <v>201</v>
      </c>
      <c r="E843" s="252" t="s">
        <v>20</v>
      </c>
      <c r="F843" s="253" t="s">
        <v>307</v>
      </c>
      <c r="G843" s="253" t="s">
        <v>22</v>
      </c>
      <c r="H843" s="254">
        <v>56550</v>
      </c>
      <c r="I843" s="254">
        <v>59693</v>
      </c>
      <c r="J843" s="254">
        <v>9197.6878500000003</v>
      </c>
      <c r="K843" s="254">
        <v>9708.8873710000007</v>
      </c>
      <c r="L843" s="254">
        <v>-511.19952100000046</v>
      </c>
      <c r="M843" s="254">
        <v>-5.2652739852244022</v>
      </c>
    </row>
    <row r="844" spans="1:13" ht="25.05" customHeight="1" x14ac:dyDescent="0.3">
      <c r="A844" s="253" t="s">
        <v>1159</v>
      </c>
      <c r="B844" s="252" t="s">
        <v>1178</v>
      </c>
      <c r="C844" s="252" t="s">
        <v>1179</v>
      </c>
      <c r="D844" s="252" t="s">
        <v>201</v>
      </c>
      <c r="E844" s="252" t="s">
        <v>46</v>
      </c>
      <c r="F844" s="253" t="s">
        <v>307</v>
      </c>
      <c r="G844" s="253" t="s">
        <v>22</v>
      </c>
      <c r="H844" s="254">
        <v>18747</v>
      </c>
      <c r="I844" s="254">
        <v>21934</v>
      </c>
      <c r="J844" s="254">
        <v>3049.143309</v>
      </c>
      <c r="K844" s="254">
        <v>3567.4992980000002</v>
      </c>
      <c r="L844" s="254">
        <v>-518.35598900000014</v>
      </c>
      <c r="M844" s="254">
        <v>-14.529953496854203</v>
      </c>
    </row>
    <row r="845" spans="1:13" ht="25.05" customHeight="1" x14ac:dyDescent="0.3">
      <c r="A845" s="253" t="s">
        <v>1159</v>
      </c>
      <c r="B845" s="252" t="s">
        <v>1180</v>
      </c>
      <c r="C845" s="252" t="s">
        <v>1181</v>
      </c>
      <c r="D845" s="252" t="s">
        <v>201</v>
      </c>
      <c r="E845" s="252" t="s">
        <v>46</v>
      </c>
      <c r="F845" s="253" t="s">
        <v>307</v>
      </c>
      <c r="G845" s="253" t="s">
        <v>22</v>
      </c>
      <c r="H845" s="254">
        <v>21211</v>
      </c>
      <c r="I845" s="254">
        <v>11237</v>
      </c>
      <c r="J845" s="254">
        <v>3449.9055170000001</v>
      </c>
      <c r="K845" s="254">
        <v>1827.6643390000002</v>
      </c>
      <c r="L845" s="254">
        <v>1622.241178</v>
      </c>
      <c r="M845" s="254">
        <v>88.760345287888214</v>
      </c>
    </row>
    <row r="846" spans="1:13" ht="25.05" customHeight="1" x14ac:dyDescent="0.3">
      <c r="A846" s="253" t="s">
        <v>1159</v>
      </c>
      <c r="B846" s="252" t="s">
        <v>1182</v>
      </c>
      <c r="C846" s="252" t="s">
        <v>1181</v>
      </c>
      <c r="D846" s="252" t="s">
        <v>201</v>
      </c>
      <c r="E846" s="252" t="s">
        <v>46</v>
      </c>
      <c r="F846" s="253" t="s">
        <v>307</v>
      </c>
      <c r="G846" s="253" t="s">
        <v>22</v>
      </c>
      <c r="H846" s="254">
        <v>1873</v>
      </c>
      <c r="I846" s="254">
        <v>50</v>
      </c>
      <c r="J846" s="254">
        <v>304.63783100000001</v>
      </c>
      <c r="K846" s="254">
        <v>8.1323500000000006</v>
      </c>
      <c r="L846" s="254">
        <v>296.50548100000003</v>
      </c>
      <c r="M846" s="254">
        <v>3646</v>
      </c>
    </row>
    <row r="847" spans="1:13" ht="25.05" customHeight="1" x14ac:dyDescent="0.3">
      <c r="A847" s="253" t="s">
        <v>1159</v>
      </c>
      <c r="B847" s="252" t="s">
        <v>1183</v>
      </c>
      <c r="C847" s="252">
        <v>0</v>
      </c>
      <c r="D847" s="252" t="s">
        <v>201</v>
      </c>
      <c r="E847" s="252" t="s">
        <v>20</v>
      </c>
      <c r="F847" s="253" t="s">
        <v>307</v>
      </c>
      <c r="G847" s="253" t="s">
        <v>22</v>
      </c>
      <c r="H847" s="254">
        <v>41831</v>
      </c>
      <c r="I847" s="254">
        <v>33221</v>
      </c>
      <c r="J847" s="254">
        <v>6803.6866570000002</v>
      </c>
      <c r="K847" s="254">
        <v>5403.2959870000004</v>
      </c>
      <c r="L847" s="254">
        <v>1400.3906699999998</v>
      </c>
      <c r="M847" s="254">
        <v>25.917341440655001</v>
      </c>
    </row>
    <row r="848" spans="1:13" ht="25.05" customHeight="1" x14ac:dyDescent="0.3">
      <c r="A848" s="253" t="s">
        <v>1159</v>
      </c>
      <c r="B848" s="252" t="s">
        <v>1184</v>
      </c>
      <c r="C848" s="252">
        <v>0</v>
      </c>
      <c r="D848" s="252" t="s">
        <v>201</v>
      </c>
      <c r="E848" s="252" t="s">
        <v>20</v>
      </c>
      <c r="F848" s="253" t="s">
        <v>307</v>
      </c>
      <c r="G848" s="253" t="s">
        <v>22</v>
      </c>
      <c r="H848" s="254">
        <v>4031</v>
      </c>
      <c r="I848" s="254">
        <v>4247</v>
      </c>
      <c r="J848" s="254">
        <v>655.63005700000008</v>
      </c>
      <c r="K848" s="254">
        <v>690.76180900000008</v>
      </c>
      <c r="L848" s="254">
        <v>-35.131752000000006</v>
      </c>
      <c r="M848" s="254">
        <v>-5.0859430186013661</v>
      </c>
    </row>
    <row r="849" spans="1:13" ht="25.05" customHeight="1" x14ac:dyDescent="0.3">
      <c r="A849" s="253" t="s">
        <v>1159</v>
      </c>
      <c r="B849" s="252" t="s">
        <v>1025</v>
      </c>
      <c r="C849" s="252">
        <v>0</v>
      </c>
      <c r="D849" s="252" t="s">
        <v>201</v>
      </c>
      <c r="E849" s="252" t="s">
        <v>20</v>
      </c>
      <c r="F849" s="253" t="s">
        <v>307</v>
      </c>
      <c r="G849" s="253" t="s">
        <v>22</v>
      </c>
      <c r="H849" s="254">
        <v>102412</v>
      </c>
      <c r="I849" s="254">
        <v>97161</v>
      </c>
      <c r="J849" s="254">
        <v>16657.004564000003</v>
      </c>
      <c r="K849" s="254">
        <v>15802.945167000002</v>
      </c>
      <c r="L849" s="254">
        <v>854.0593970000009</v>
      </c>
      <c r="M849" s="254">
        <v>5.4044318193513909</v>
      </c>
    </row>
    <row r="850" spans="1:13" ht="25.05" customHeight="1" x14ac:dyDescent="0.3">
      <c r="A850" s="253" t="s">
        <v>1159</v>
      </c>
      <c r="B850" s="252" t="s">
        <v>1185</v>
      </c>
      <c r="C850" s="252" t="s">
        <v>1179</v>
      </c>
      <c r="D850" s="252" t="s">
        <v>26</v>
      </c>
      <c r="E850" s="252" t="s">
        <v>46</v>
      </c>
      <c r="F850" s="253" t="s">
        <v>307</v>
      </c>
      <c r="G850" s="253" t="s">
        <v>22</v>
      </c>
      <c r="H850" s="254">
        <v>5608</v>
      </c>
      <c r="I850" s="254">
        <v>5679</v>
      </c>
      <c r="J850" s="254">
        <v>912.1243760000001</v>
      </c>
      <c r="K850" s="254">
        <v>923.67231300000003</v>
      </c>
      <c r="L850" s="254">
        <v>-11.547936999999934</v>
      </c>
      <c r="M850" s="254">
        <v>-1.2502201091741432</v>
      </c>
    </row>
    <row r="851" spans="1:13" ht="25.05" customHeight="1" x14ac:dyDescent="0.3">
      <c r="A851" s="253" t="s">
        <v>1159</v>
      </c>
      <c r="B851" s="252" t="s">
        <v>1186</v>
      </c>
      <c r="C851" s="252">
        <v>0</v>
      </c>
      <c r="D851" s="252">
        <v>0</v>
      </c>
      <c r="E851" s="252" t="s">
        <v>20</v>
      </c>
      <c r="F851" s="253" t="s">
        <v>307</v>
      </c>
      <c r="G851" s="253" t="s">
        <v>22</v>
      </c>
      <c r="H851" s="254">
        <v>108020</v>
      </c>
      <c r="I851" s="254">
        <v>102840</v>
      </c>
      <c r="J851" s="254">
        <v>17569.128940000002</v>
      </c>
      <c r="K851" s="254">
        <v>16726.617480000001</v>
      </c>
      <c r="L851" s="254">
        <v>842.51146000000153</v>
      </c>
      <c r="M851" s="254">
        <v>5.0369506028782665</v>
      </c>
    </row>
    <row r="852" spans="1:13" ht="25.05" customHeight="1" x14ac:dyDescent="0.3">
      <c r="A852" s="253" t="s">
        <v>1159</v>
      </c>
      <c r="B852" s="252" t="s">
        <v>1187</v>
      </c>
      <c r="C852" s="252" t="s">
        <v>1188</v>
      </c>
      <c r="D852" s="252" t="s">
        <v>113</v>
      </c>
      <c r="E852" s="252" t="s">
        <v>40</v>
      </c>
      <c r="F852" s="253" t="s">
        <v>307</v>
      </c>
      <c r="G852" s="253" t="s">
        <v>22</v>
      </c>
      <c r="H852" s="254">
        <v>9662</v>
      </c>
      <c r="I852" s="254">
        <v>10281</v>
      </c>
      <c r="J852" s="254">
        <v>1571.4953140000002</v>
      </c>
      <c r="K852" s="254">
        <v>1672.1738070000001</v>
      </c>
      <c r="L852" s="254">
        <v>-100.67849299999989</v>
      </c>
      <c r="M852" s="254">
        <v>-6.0208150958077935</v>
      </c>
    </row>
    <row r="853" spans="1:13" ht="25.05" customHeight="1" x14ac:dyDescent="0.3">
      <c r="A853" s="253" t="s">
        <v>1159</v>
      </c>
      <c r="B853" s="252" t="s">
        <v>1189</v>
      </c>
      <c r="C853" s="252" t="s">
        <v>1190</v>
      </c>
      <c r="D853" s="252" t="s">
        <v>113</v>
      </c>
      <c r="E853" s="252" t="s">
        <v>40</v>
      </c>
      <c r="F853" s="253" t="s">
        <v>307</v>
      </c>
      <c r="G853" s="253" t="s">
        <v>22</v>
      </c>
      <c r="H853" s="254">
        <v>7203</v>
      </c>
      <c r="I853" s="254">
        <v>8119</v>
      </c>
      <c r="J853" s="254">
        <v>1171.5463410000002</v>
      </c>
      <c r="K853" s="254">
        <v>1320.5309930000001</v>
      </c>
      <c r="L853" s="254">
        <v>-148.98465199999987</v>
      </c>
      <c r="M853" s="254">
        <v>-11.282177608079802</v>
      </c>
    </row>
    <row r="854" spans="1:13" ht="25.05" customHeight="1" x14ac:dyDescent="0.3">
      <c r="A854" s="253" t="s">
        <v>1159</v>
      </c>
      <c r="B854" s="252" t="s">
        <v>1191</v>
      </c>
      <c r="C854" s="252" t="s">
        <v>1192</v>
      </c>
      <c r="D854" s="252" t="s">
        <v>113</v>
      </c>
      <c r="E854" s="252" t="s">
        <v>40</v>
      </c>
      <c r="F854" s="253" t="s">
        <v>307</v>
      </c>
      <c r="G854" s="253" t="s">
        <v>22</v>
      </c>
      <c r="H854" s="254">
        <v>1462</v>
      </c>
      <c r="I854" s="254">
        <v>1525</v>
      </c>
      <c r="J854" s="254">
        <v>237.78991400000001</v>
      </c>
      <c r="K854" s="254">
        <v>248.03667500000003</v>
      </c>
      <c r="L854" s="254">
        <v>-10.246761000000021</v>
      </c>
      <c r="M854" s="254">
        <v>-4.1311475409836147</v>
      </c>
    </row>
    <row r="855" spans="1:13" ht="25.05" customHeight="1" x14ac:dyDescent="0.3">
      <c r="A855" s="253" t="s">
        <v>1159</v>
      </c>
      <c r="B855" s="252" t="s">
        <v>1193</v>
      </c>
      <c r="C855" s="252">
        <v>0</v>
      </c>
      <c r="D855" s="252">
        <v>0</v>
      </c>
      <c r="E855" s="252" t="s">
        <v>20</v>
      </c>
      <c r="F855" s="253" t="s">
        <v>307</v>
      </c>
      <c r="G855" s="253" t="s">
        <v>22</v>
      </c>
      <c r="H855" s="254">
        <v>7704</v>
      </c>
      <c r="I855" s="254">
        <v>7275</v>
      </c>
      <c r="J855" s="254">
        <v>1253.0324880000001</v>
      </c>
      <c r="K855" s="254">
        <v>1183.2569250000001</v>
      </c>
      <c r="L855" s="254">
        <v>69.77556299999992</v>
      </c>
      <c r="M855" s="254">
        <v>5.8969072164948377</v>
      </c>
    </row>
    <row r="856" spans="1:13" ht="25.05" customHeight="1" x14ac:dyDescent="0.3">
      <c r="A856" s="253" t="s">
        <v>1159</v>
      </c>
      <c r="B856" s="252" t="s">
        <v>1194</v>
      </c>
      <c r="C856" s="252">
        <v>0</v>
      </c>
      <c r="D856" s="252">
        <v>0</v>
      </c>
      <c r="E856" s="252" t="s">
        <v>20</v>
      </c>
      <c r="F856" s="253" t="s">
        <v>307</v>
      </c>
      <c r="G856" s="253" t="s">
        <v>22</v>
      </c>
      <c r="H856" s="254">
        <v>1560</v>
      </c>
      <c r="I856" s="254">
        <v>1625</v>
      </c>
      <c r="J856" s="254">
        <v>253.72932000000003</v>
      </c>
      <c r="K856" s="254">
        <v>264.30137500000001</v>
      </c>
      <c r="L856" s="254">
        <v>-10.572054999999978</v>
      </c>
      <c r="M856" s="254">
        <v>-3.9999999999999911</v>
      </c>
    </row>
    <row r="857" spans="1:13" ht="25.05" customHeight="1" x14ac:dyDescent="0.3">
      <c r="A857" s="253" t="s">
        <v>1159</v>
      </c>
      <c r="B857" s="252" t="s">
        <v>1195</v>
      </c>
      <c r="C857" s="252">
        <v>0</v>
      </c>
      <c r="D857" s="252">
        <v>0</v>
      </c>
      <c r="E857" s="252" t="s">
        <v>20</v>
      </c>
      <c r="F857" s="253" t="s">
        <v>307</v>
      </c>
      <c r="G857" s="253" t="s">
        <v>22</v>
      </c>
      <c r="H857" s="254">
        <v>18926</v>
      </c>
      <c r="I857" s="254">
        <v>19181</v>
      </c>
      <c r="J857" s="254">
        <v>3078.2571220000004</v>
      </c>
      <c r="K857" s="254">
        <v>3119.7321070000003</v>
      </c>
      <c r="L857" s="254">
        <v>-41.474984999999833</v>
      </c>
      <c r="M857" s="254">
        <v>-1.3294405922527448</v>
      </c>
    </row>
    <row r="858" spans="1:13" ht="25.05" customHeight="1" x14ac:dyDescent="0.3">
      <c r="A858" s="267" t="s">
        <v>1159</v>
      </c>
      <c r="B858" s="268" t="s">
        <v>38</v>
      </c>
      <c r="C858" s="268">
        <v>0</v>
      </c>
      <c r="D858" s="268">
        <v>0</v>
      </c>
      <c r="E858" s="268" t="s">
        <v>20</v>
      </c>
      <c r="F858" s="267" t="s">
        <v>307</v>
      </c>
      <c r="G858" s="267" t="s">
        <v>22</v>
      </c>
      <c r="H858" s="269">
        <v>126946</v>
      </c>
      <c r="I858" s="269">
        <v>122021</v>
      </c>
      <c r="J858" s="269">
        <v>20647.386062000001</v>
      </c>
      <c r="K858" s="269">
        <v>19846.349587000001</v>
      </c>
      <c r="L858" s="269">
        <v>801.03647500000079</v>
      </c>
      <c r="M858" s="269">
        <v>4.0361904918005953</v>
      </c>
    </row>
    <row r="859" spans="1:13" ht="25.05" customHeight="1" x14ac:dyDescent="0.3">
      <c r="A859" s="253" t="s">
        <v>1196</v>
      </c>
      <c r="B859" s="252" t="s">
        <v>1788</v>
      </c>
      <c r="C859" s="252" t="s">
        <v>460</v>
      </c>
      <c r="D859" s="252" t="s">
        <v>49</v>
      </c>
      <c r="E859" s="252" t="s">
        <v>40</v>
      </c>
      <c r="F859" s="253" t="s">
        <v>250</v>
      </c>
      <c r="G859" s="253" t="s">
        <v>251</v>
      </c>
      <c r="H859" s="254">
        <v>95.6</v>
      </c>
      <c r="I859" s="254">
        <v>87.2</v>
      </c>
      <c r="J859" s="254">
        <v>907.14839999999992</v>
      </c>
      <c r="K859" s="254">
        <v>827.44079999999997</v>
      </c>
      <c r="L859" s="254">
        <v>79.707599999999957</v>
      </c>
      <c r="M859" s="254">
        <v>9.6330275229357749</v>
      </c>
    </row>
    <row r="860" spans="1:13" ht="25.05" customHeight="1" x14ac:dyDescent="0.3">
      <c r="A860" s="253" t="s">
        <v>1196</v>
      </c>
      <c r="B860" s="252" t="s">
        <v>1197</v>
      </c>
      <c r="C860" s="252" t="s">
        <v>1198</v>
      </c>
      <c r="D860" s="252" t="s">
        <v>201</v>
      </c>
      <c r="E860" s="252" t="s">
        <v>46</v>
      </c>
      <c r="F860" s="253" t="s">
        <v>250</v>
      </c>
      <c r="G860" s="253" t="s">
        <v>251</v>
      </c>
      <c r="H860" s="254">
        <v>25.4</v>
      </c>
      <c r="I860" s="254">
        <v>26.2</v>
      </c>
      <c r="J860" s="254">
        <v>241.02059999999997</v>
      </c>
      <c r="K860" s="254">
        <v>248.61179999999999</v>
      </c>
      <c r="L860" s="254">
        <v>-7.5912000000000148</v>
      </c>
      <c r="M860" s="254">
        <v>-3.0534351145038228</v>
      </c>
    </row>
    <row r="861" spans="1:13" ht="25.05" customHeight="1" x14ac:dyDescent="0.3">
      <c r="A861" s="253" t="s">
        <v>1196</v>
      </c>
      <c r="B861" s="252" t="s">
        <v>1199</v>
      </c>
      <c r="C861" s="252" t="s">
        <v>200</v>
      </c>
      <c r="D861" s="252" t="s">
        <v>201</v>
      </c>
      <c r="E861" s="252" t="s">
        <v>46</v>
      </c>
      <c r="F861" s="253" t="s">
        <v>250</v>
      </c>
      <c r="G861" s="253" t="s">
        <v>251</v>
      </c>
      <c r="H861" s="254">
        <v>20.900000000000002</v>
      </c>
      <c r="I861" s="254">
        <v>17.2</v>
      </c>
      <c r="J861" s="254">
        <v>198.32010000000002</v>
      </c>
      <c r="K861" s="254">
        <v>163.21079999999998</v>
      </c>
      <c r="L861" s="254">
        <v>35.109300000000047</v>
      </c>
      <c r="M861" s="254">
        <v>21.511627906976777</v>
      </c>
    </row>
    <row r="862" spans="1:13" ht="25.05" customHeight="1" x14ac:dyDescent="0.3">
      <c r="A862" s="253" t="s">
        <v>1196</v>
      </c>
      <c r="B862" s="252" t="s">
        <v>1200</v>
      </c>
      <c r="C862" s="252" t="s">
        <v>462</v>
      </c>
      <c r="D862" s="252" t="s">
        <v>43</v>
      </c>
      <c r="E862" s="252" t="s">
        <v>40</v>
      </c>
      <c r="F862" s="253" t="s">
        <v>250</v>
      </c>
      <c r="G862" s="253" t="s">
        <v>251</v>
      </c>
      <c r="H862" s="254">
        <v>21.4</v>
      </c>
      <c r="I862" s="254">
        <v>19.2</v>
      </c>
      <c r="J862" s="254">
        <v>203.06459999999998</v>
      </c>
      <c r="K862" s="254">
        <v>182.18879999999999</v>
      </c>
      <c r="L862" s="254">
        <v>20.875799999999998</v>
      </c>
      <c r="M862" s="254">
        <v>11.458333333333332</v>
      </c>
    </row>
    <row r="863" spans="1:13" ht="25.05" customHeight="1" x14ac:dyDescent="0.3">
      <c r="A863" s="253" t="s">
        <v>1196</v>
      </c>
      <c r="B863" s="252" t="s">
        <v>1201</v>
      </c>
      <c r="C863" s="252" t="s">
        <v>1202</v>
      </c>
      <c r="D863" s="252" t="s">
        <v>62</v>
      </c>
      <c r="E863" s="252" t="s">
        <v>46</v>
      </c>
      <c r="F863" s="253" t="s">
        <v>250</v>
      </c>
      <c r="G863" s="253" t="s">
        <v>251</v>
      </c>
      <c r="H863" s="254">
        <v>7.8</v>
      </c>
      <c r="I863" s="254">
        <v>8.6</v>
      </c>
      <c r="J863" s="254">
        <v>74.014199999999988</v>
      </c>
      <c r="K863" s="254">
        <v>81.605399999999989</v>
      </c>
      <c r="L863" s="254">
        <v>-7.5912000000000006</v>
      </c>
      <c r="M863" s="254">
        <v>-9.3023255813953512</v>
      </c>
    </row>
    <row r="864" spans="1:13" ht="25.05" customHeight="1" x14ac:dyDescent="0.3">
      <c r="A864" s="253" t="s">
        <v>1196</v>
      </c>
      <c r="B864" s="252" t="s">
        <v>1203</v>
      </c>
      <c r="C864" s="252" t="s">
        <v>133</v>
      </c>
      <c r="D864" s="252" t="s">
        <v>100</v>
      </c>
      <c r="E864" s="252" t="s">
        <v>46</v>
      </c>
      <c r="F864" s="253" t="s">
        <v>250</v>
      </c>
      <c r="G864" s="253" t="s">
        <v>251</v>
      </c>
      <c r="H864" s="254">
        <v>7.9</v>
      </c>
      <c r="I864" s="254">
        <v>6.8</v>
      </c>
      <c r="J864" s="254">
        <v>74.963099999999997</v>
      </c>
      <c r="K864" s="254">
        <v>64.525199999999998</v>
      </c>
      <c r="L864" s="254">
        <v>10.437899999999999</v>
      </c>
      <c r="M864" s="254">
        <v>16.176470588235293</v>
      </c>
    </row>
    <row r="865" spans="1:13" ht="25.05" customHeight="1" x14ac:dyDescent="0.3">
      <c r="A865" s="253" t="s">
        <v>1196</v>
      </c>
      <c r="B865" s="252" t="s">
        <v>140</v>
      </c>
      <c r="C865" s="252" t="s">
        <v>141</v>
      </c>
      <c r="D865" s="252" t="s">
        <v>49</v>
      </c>
      <c r="E865" s="252" t="s">
        <v>46</v>
      </c>
      <c r="F865" s="253" t="s">
        <v>250</v>
      </c>
      <c r="G865" s="253" t="s">
        <v>251</v>
      </c>
      <c r="H865" s="254">
        <v>6.8000000000000007</v>
      </c>
      <c r="I865" s="254">
        <v>5.6</v>
      </c>
      <c r="J865" s="254">
        <v>64.525199999999998</v>
      </c>
      <c r="K865" s="254">
        <v>53.138399999999997</v>
      </c>
      <c r="L865" s="254">
        <v>11.386800000000001</v>
      </c>
      <c r="M865" s="254">
        <v>21.428571428571431</v>
      </c>
    </row>
    <row r="866" spans="1:13" ht="25.05" customHeight="1" x14ac:dyDescent="0.3">
      <c r="A866" s="253" t="s">
        <v>1196</v>
      </c>
      <c r="B866" s="252" t="s">
        <v>1204</v>
      </c>
      <c r="C866" s="252" t="s">
        <v>1205</v>
      </c>
      <c r="D866" s="252" t="s">
        <v>129</v>
      </c>
      <c r="E866" s="252" t="s">
        <v>46</v>
      </c>
      <c r="F866" s="253" t="s">
        <v>250</v>
      </c>
      <c r="G866" s="253" t="s">
        <v>251</v>
      </c>
      <c r="H866" s="254">
        <v>4.4000000000000004</v>
      </c>
      <c r="I866" s="254">
        <v>4.9000000000000004</v>
      </c>
      <c r="J866" s="254">
        <v>41.751599999999996</v>
      </c>
      <c r="K866" s="254">
        <v>46.496099999999998</v>
      </c>
      <c r="L866" s="254">
        <v>-4.7445000000000022</v>
      </c>
      <c r="M866" s="254">
        <v>-10.204081632653066</v>
      </c>
    </row>
    <row r="867" spans="1:13" ht="25.05" customHeight="1" x14ac:dyDescent="0.3">
      <c r="A867" s="253" t="s">
        <v>1196</v>
      </c>
      <c r="B867" s="252" t="s">
        <v>1206</v>
      </c>
      <c r="C867" s="252" t="s">
        <v>1207</v>
      </c>
      <c r="D867" s="252" t="s">
        <v>129</v>
      </c>
      <c r="E867" s="252" t="s">
        <v>46</v>
      </c>
      <c r="F867" s="253" t="s">
        <v>250</v>
      </c>
      <c r="G867" s="253" t="s">
        <v>251</v>
      </c>
      <c r="H867" s="254">
        <v>5.9</v>
      </c>
      <c r="I867" s="254">
        <v>8.8000000000000007</v>
      </c>
      <c r="J867" s="254">
        <v>55.985099999999996</v>
      </c>
      <c r="K867" s="254">
        <v>83.503199999999993</v>
      </c>
      <c r="L867" s="254">
        <v>-27.518099999999997</v>
      </c>
      <c r="M867" s="254">
        <v>-32.954545454545453</v>
      </c>
    </row>
    <row r="868" spans="1:13" ht="25.05" customHeight="1" x14ac:dyDescent="0.3">
      <c r="A868" s="253" t="s">
        <v>1196</v>
      </c>
      <c r="B868" s="252" t="s">
        <v>1208</v>
      </c>
      <c r="C868" s="252" t="s">
        <v>978</v>
      </c>
      <c r="D868" s="252" t="s">
        <v>49</v>
      </c>
      <c r="E868" s="252" t="s">
        <v>46</v>
      </c>
      <c r="F868" s="253" t="s">
        <v>250</v>
      </c>
      <c r="G868" s="253" t="s">
        <v>251</v>
      </c>
      <c r="H868" s="254">
        <v>5.8</v>
      </c>
      <c r="I868" s="254">
        <v>11.3</v>
      </c>
      <c r="J868" s="254">
        <v>55.036199999999994</v>
      </c>
      <c r="K868" s="254">
        <v>107.22569999999999</v>
      </c>
      <c r="L868" s="254">
        <v>-52.189499999999995</v>
      </c>
      <c r="M868" s="254">
        <v>-48.672566371681413</v>
      </c>
    </row>
    <row r="869" spans="1:13" ht="25.05" customHeight="1" x14ac:dyDescent="0.3">
      <c r="A869" s="253" t="s">
        <v>1196</v>
      </c>
      <c r="B869" s="252" t="s">
        <v>1209</v>
      </c>
      <c r="C869" s="252" t="s">
        <v>1210</v>
      </c>
      <c r="D869" s="252" t="s">
        <v>221</v>
      </c>
      <c r="E869" s="252" t="s">
        <v>46</v>
      </c>
      <c r="F869" s="253" t="s">
        <v>250</v>
      </c>
      <c r="G869" s="253" t="s">
        <v>251</v>
      </c>
      <c r="H869" s="254">
        <v>2.9</v>
      </c>
      <c r="I869" s="254">
        <v>3.8</v>
      </c>
      <c r="J869" s="254">
        <v>27.518099999999997</v>
      </c>
      <c r="K869" s="254">
        <v>36.058199999999999</v>
      </c>
      <c r="L869" s="254">
        <v>-8.5401000000000025</v>
      </c>
      <c r="M869" s="254">
        <v>-23.684210526315795</v>
      </c>
    </row>
    <row r="870" spans="1:13" ht="25.05" customHeight="1" x14ac:dyDescent="0.3">
      <c r="A870" s="253" t="s">
        <v>1196</v>
      </c>
      <c r="B870" s="252" t="s">
        <v>1211</v>
      </c>
      <c r="C870" s="252" t="s">
        <v>285</v>
      </c>
      <c r="D870" s="252" t="s">
        <v>126</v>
      </c>
      <c r="E870" s="252" t="s">
        <v>46</v>
      </c>
      <c r="F870" s="253" t="s">
        <v>250</v>
      </c>
      <c r="G870" s="253" t="s">
        <v>251</v>
      </c>
      <c r="H870" s="254">
        <v>3.1999999999999997</v>
      </c>
      <c r="I870" s="254">
        <v>5.0999999999999996</v>
      </c>
      <c r="J870" s="254">
        <v>30.364799999999992</v>
      </c>
      <c r="K870" s="254">
        <v>48.393899999999995</v>
      </c>
      <c r="L870" s="254">
        <v>-18.029100000000003</v>
      </c>
      <c r="M870" s="254">
        <v>-37.254901960784323</v>
      </c>
    </row>
    <row r="871" spans="1:13" ht="25.05" customHeight="1" x14ac:dyDescent="0.3">
      <c r="A871" s="253" t="s">
        <v>1196</v>
      </c>
      <c r="B871" s="252" t="s">
        <v>1212</v>
      </c>
      <c r="C871" s="252">
        <v>0</v>
      </c>
      <c r="D871" s="252">
        <v>0</v>
      </c>
      <c r="E871" s="252" t="s">
        <v>20</v>
      </c>
      <c r="F871" s="253" t="s">
        <v>250</v>
      </c>
      <c r="G871" s="253" t="s">
        <v>251</v>
      </c>
      <c r="H871" s="254">
        <v>1.4</v>
      </c>
      <c r="I871" s="254">
        <v>0</v>
      </c>
      <c r="J871" s="254">
        <v>13.284599999999999</v>
      </c>
      <c r="K871" s="254">
        <v>0</v>
      </c>
      <c r="L871" s="254">
        <v>13.284599999999999</v>
      </c>
      <c r="M871" s="254"/>
    </row>
    <row r="872" spans="1:13" ht="25.05" customHeight="1" x14ac:dyDescent="0.3">
      <c r="A872" s="267" t="s">
        <v>1196</v>
      </c>
      <c r="B872" s="268" t="s">
        <v>101</v>
      </c>
      <c r="C872" s="268">
        <v>0</v>
      </c>
      <c r="D872" s="268">
        <v>0</v>
      </c>
      <c r="E872" s="268" t="s">
        <v>20</v>
      </c>
      <c r="F872" s="267" t="s">
        <v>250</v>
      </c>
      <c r="G872" s="267" t="s">
        <v>251</v>
      </c>
      <c r="H872" s="269">
        <v>302.05399999999997</v>
      </c>
      <c r="I872" s="269">
        <v>290.7</v>
      </c>
      <c r="J872" s="269">
        <v>2866.1904059999997</v>
      </c>
      <c r="K872" s="269">
        <v>2758.4522999999999</v>
      </c>
      <c r="L872" s="269">
        <v>107.73810599999979</v>
      </c>
      <c r="M872" s="269">
        <v>3.9057447540419599</v>
      </c>
    </row>
    <row r="873" spans="1:13" ht="25.05" customHeight="1" x14ac:dyDescent="0.3">
      <c r="A873" s="253" t="s">
        <v>1213</v>
      </c>
      <c r="B873" s="252" t="s">
        <v>1764</v>
      </c>
      <c r="C873" s="252" t="s">
        <v>1235</v>
      </c>
      <c r="D873" s="252" t="s">
        <v>62</v>
      </c>
      <c r="E873" s="252" t="s">
        <v>46</v>
      </c>
      <c r="F873" s="253" t="s">
        <v>250</v>
      </c>
      <c r="G873" s="253" t="s">
        <v>251</v>
      </c>
      <c r="H873" s="254">
        <v>116</v>
      </c>
      <c r="I873" s="254">
        <v>101.8</v>
      </c>
      <c r="J873" s="254">
        <v>1100.7239999999999</v>
      </c>
      <c r="K873" s="254">
        <v>965.98019999999997</v>
      </c>
      <c r="L873" s="254">
        <v>134.74379999999996</v>
      </c>
      <c r="M873" s="254">
        <v>13.948919449901764</v>
      </c>
    </row>
    <row r="874" spans="1:13" ht="25.05" customHeight="1" x14ac:dyDescent="0.3">
      <c r="A874" s="253" t="s">
        <v>1213</v>
      </c>
      <c r="B874" s="252" t="s">
        <v>1214</v>
      </c>
      <c r="C874" s="252" t="s">
        <v>946</v>
      </c>
      <c r="D874" s="252" t="s">
        <v>62</v>
      </c>
      <c r="E874" s="252" t="s">
        <v>46</v>
      </c>
      <c r="F874" s="253" t="s">
        <v>250</v>
      </c>
      <c r="G874" s="253" t="s">
        <v>251</v>
      </c>
      <c r="H874" s="254">
        <v>104.7</v>
      </c>
      <c r="I874" s="254">
        <v>89.9</v>
      </c>
      <c r="J874" s="254">
        <v>993.49829999999986</v>
      </c>
      <c r="K874" s="254">
        <v>853.0610999999999</v>
      </c>
      <c r="L874" s="254">
        <v>140.43719999999996</v>
      </c>
      <c r="M874" s="254">
        <v>16.462736373748609</v>
      </c>
    </row>
    <row r="875" spans="1:13" ht="25.05" customHeight="1" x14ac:dyDescent="0.3">
      <c r="A875" s="253" t="s">
        <v>1213</v>
      </c>
      <c r="B875" s="252" t="s">
        <v>1215</v>
      </c>
      <c r="C875" s="252" t="s">
        <v>1216</v>
      </c>
      <c r="D875" s="252" t="s">
        <v>129</v>
      </c>
      <c r="E875" s="252" t="s">
        <v>46</v>
      </c>
      <c r="F875" s="253" t="s">
        <v>250</v>
      </c>
      <c r="G875" s="253" t="s">
        <v>251</v>
      </c>
      <c r="H875" s="254">
        <v>88.3</v>
      </c>
      <c r="I875" s="254">
        <v>91.7</v>
      </c>
      <c r="J875" s="254">
        <v>837.87869999999998</v>
      </c>
      <c r="K875" s="254">
        <v>870.14129999999989</v>
      </c>
      <c r="L875" s="254">
        <v>-32.262599999999907</v>
      </c>
      <c r="M875" s="254">
        <v>-3.7077426390403385</v>
      </c>
    </row>
    <row r="876" spans="1:13" ht="25.05" customHeight="1" x14ac:dyDescent="0.3">
      <c r="A876" s="253" t="s">
        <v>1213</v>
      </c>
      <c r="B876" s="252" t="s">
        <v>1217</v>
      </c>
      <c r="C876" s="252" t="s">
        <v>1216</v>
      </c>
      <c r="D876" s="252" t="s">
        <v>129</v>
      </c>
      <c r="E876" s="252" t="s">
        <v>46</v>
      </c>
      <c r="F876" s="253" t="s">
        <v>250</v>
      </c>
      <c r="G876" s="253" t="s">
        <v>251</v>
      </c>
      <c r="H876" s="254">
        <v>80</v>
      </c>
      <c r="I876" s="254">
        <v>57.3</v>
      </c>
      <c r="J876" s="254">
        <v>759.11999999999989</v>
      </c>
      <c r="K876" s="254">
        <v>543.71969999999999</v>
      </c>
      <c r="L876" s="254">
        <v>215.4002999999999</v>
      </c>
      <c r="M876" s="254">
        <v>39.61605584642232</v>
      </c>
    </row>
    <row r="877" spans="1:13" ht="25.05" customHeight="1" x14ac:dyDescent="0.3">
      <c r="A877" s="253" t="s">
        <v>1213</v>
      </c>
      <c r="B877" s="252" t="s">
        <v>1218</v>
      </c>
      <c r="C877" s="252" t="s">
        <v>1219</v>
      </c>
      <c r="D877" s="252" t="s">
        <v>49</v>
      </c>
      <c r="E877" s="252" t="s">
        <v>46</v>
      </c>
      <c r="F877" s="253" t="s">
        <v>250</v>
      </c>
      <c r="G877" s="253" t="s">
        <v>251</v>
      </c>
      <c r="H877" s="254">
        <v>40.700000000000003</v>
      </c>
      <c r="I877" s="254">
        <v>34.5</v>
      </c>
      <c r="J877" s="254">
        <v>386.20229999999998</v>
      </c>
      <c r="K877" s="254">
        <v>327.37049999999999</v>
      </c>
      <c r="L877" s="254">
        <v>58.831799999999987</v>
      </c>
      <c r="M877" s="254">
        <v>17.971014492753621</v>
      </c>
    </row>
    <row r="878" spans="1:13" ht="25.05" customHeight="1" x14ac:dyDescent="0.3">
      <c r="A878" s="253" t="s">
        <v>1213</v>
      </c>
      <c r="B878" s="252" t="s">
        <v>1220</v>
      </c>
      <c r="C878" s="252">
        <v>0</v>
      </c>
      <c r="D878" s="252">
        <v>0</v>
      </c>
      <c r="E878" s="252" t="s">
        <v>20</v>
      </c>
      <c r="F878" s="253" t="s">
        <v>250</v>
      </c>
      <c r="G878" s="253" t="s">
        <v>251</v>
      </c>
      <c r="H878" s="254">
        <v>429.8</v>
      </c>
      <c r="I878" s="254">
        <v>375.1</v>
      </c>
      <c r="J878" s="254">
        <v>4078.3721999999998</v>
      </c>
      <c r="K878" s="254">
        <v>3559.3238999999999</v>
      </c>
      <c r="L878" s="254">
        <v>519.04829999999993</v>
      </c>
      <c r="M878" s="254">
        <v>14.582777925886429</v>
      </c>
    </row>
    <row r="879" spans="1:13" ht="25.05" customHeight="1" x14ac:dyDescent="0.3">
      <c r="A879" s="253" t="s">
        <v>1213</v>
      </c>
      <c r="B879" s="252" t="s">
        <v>1221</v>
      </c>
      <c r="C879" s="252" t="s">
        <v>1222</v>
      </c>
      <c r="D879" s="252" t="s">
        <v>62</v>
      </c>
      <c r="E879" s="252" t="s">
        <v>46</v>
      </c>
      <c r="F879" s="253" t="s">
        <v>250</v>
      </c>
      <c r="G879" s="253" t="s">
        <v>251</v>
      </c>
      <c r="H879" s="254">
        <v>42.8</v>
      </c>
      <c r="I879" s="254">
        <v>46.8</v>
      </c>
      <c r="J879" s="254">
        <v>406.12919999999997</v>
      </c>
      <c r="K879" s="254">
        <v>444.08519999999999</v>
      </c>
      <c r="L879" s="254">
        <v>-37.956000000000017</v>
      </c>
      <c r="M879" s="254">
        <v>-8.5470085470085522</v>
      </c>
    </row>
    <row r="880" spans="1:13" ht="25.05" customHeight="1" x14ac:dyDescent="0.3">
      <c r="A880" s="253" t="s">
        <v>1213</v>
      </c>
      <c r="B880" s="252" t="s">
        <v>1223</v>
      </c>
      <c r="C880" s="252" t="s">
        <v>1224</v>
      </c>
      <c r="D880" s="252" t="s">
        <v>62</v>
      </c>
      <c r="E880" s="252" t="s">
        <v>46</v>
      </c>
      <c r="F880" s="253" t="s">
        <v>250</v>
      </c>
      <c r="G880" s="253" t="s">
        <v>251</v>
      </c>
      <c r="H880" s="254">
        <v>13</v>
      </c>
      <c r="I880" s="254">
        <v>13.4</v>
      </c>
      <c r="J880" s="254">
        <v>123.35699999999999</v>
      </c>
      <c r="K880" s="254">
        <v>127.15259999999999</v>
      </c>
      <c r="L880" s="254">
        <v>-3.7956000000000074</v>
      </c>
      <c r="M880" s="254">
        <v>-2.9850746268656776</v>
      </c>
    </row>
    <row r="881" spans="1:13" ht="25.05" customHeight="1" x14ac:dyDescent="0.3">
      <c r="A881" s="253" t="s">
        <v>1213</v>
      </c>
      <c r="B881" s="252" t="s">
        <v>469</v>
      </c>
      <c r="C881" s="252" t="s">
        <v>470</v>
      </c>
      <c r="D881" s="252" t="s">
        <v>49</v>
      </c>
      <c r="E881" s="252" t="s">
        <v>46</v>
      </c>
      <c r="F881" s="253" t="s">
        <v>250</v>
      </c>
      <c r="G881" s="253" t="s">
        <v>251</v>
      </c>
      <c r="H881" s="254">
        <v>30.8</v>
      </c>
      <c r="I881" s="254">
        <v>29</v>
      </c>
      <c r="J881" s="254">
        <v>292.26119999999997</v>
      </c>
      <c r="K881" s="254">
        <v>275.18099999999998</v>
      </c>
      <c r="L881" s="254">
        <v>17.080199999999991</v>
      </c>
      <c r="M881" s="254">
        <v>6.2068965517241352</v>
      </c>
    </row>
    <row r="882" spans="1:13" ht="25.05" customHeight="1" x14ac:dyDescent="0.3">
      <c r="A882" s="253" t="s">
        <v>1213</v>
      </c>
      <c r="B882" s="252" t="s">
        <v>1225</v>
      </c>
      <c r="C882" s="252" t="s">
        <v>1226</v>
      </c>
      <c r="D882" s="252" t="s">
        <v>1227</v>
      </c>
      <c r="E882" s="252" t="s">
        <v>46</v>
      </c>
      <c r="F882" s="253" t="s">
        <v>250</v>
      </c>
      <c r="G882" s="253" t="s">
        <v>251</v>
      </c>
      <c r="H882" s="254">
        <v>15.8</v>
      </c>
      <c r="I882" s="254">
        <v>15.5</v>
      </c>
      <c r="J882" s="254">
        <v>149.92619999999999</v>
      </c>
      <c r="K882" s="254">
        <v>147.0795</v>
      </c>
      <c r="L882" s="254">
        <v>2.8466999999999985</v>
      </c>
      <c r="M882" s="254">
        <v>1.9354838709677409</v>
      </c>
    </row>
    <row r="883" spans="1:13" ht="25.05" customHeight="1" x14ac:dyDescent="0.3">
      <c r="A883" s="253" t="s">
        <v>1213</v>
      </c>
      <c r="B883" s="252" t="s">
        <v>1228</v>
      </c>
      <c r="C883" s="252" t="s">
        <v>1229</v>
      </c>
      <c r="D883" s="252" t="s">
        <v>72</v>
      </c>
      <c r="E883" s="252" t="s">
        <v>46</v>
      </c>
      <c r="F883" s="253" t="s">
        <v>250</v>
      </c>
      <c r="G883" s="253" t="s">
        <v>251</v>
      </c>
      <c r="H883" s="254">
        <v>5.2</v>
      </c>
      <c r="I883" s="254">
        <v>5.3</v>
      </c>
      <c r="J883" s="254">
        <v>49.342799999999997</v>
      </c>
      <c r="K883" s="254">
        <v>50.291699999999999</v>
      </c>
      <c r="L883" s="254">
        <v>-0.94890000000000185</v>
      </c>
      <c r="M883" s="254">
        <v>-1.8867924528301925</v>
      </c>
    </row>
    <row r="884" spans="1:13" ht="25.05" customHeight="1" x14ac:dyDescent="0.3">
      <c r="A884" s="253" t="s">
        <v>1213</v>
      </c>
      <c r="B884" s="252" t="s">
        <v>1230</v>
      </c>
      <c r="C884" s="252" t="s">
        <v>1231</v>
      </c>
      <c r="D884" s="252" t="s">
        <v>43</v>
      </c>
      <c r="E884" s="252" t="s">
        <v>46</v>
      </c>
      <c r="F884" s="253" t="s">
        <v>250</v>
      </c>
      <c r="G884" s="253" t="s">
        <v>251</v>
      </c>
      <c r="H884" s="254">
        <v>10</v>
      </c>
      <c r="I884" s="254">
        <v>12.2</v>
      </c>
      <c r="J884" s="254">
        <v>94.889999999999986</v>
      </c>
      <c r="K884" s="254">
        <v>115.76579999999998</v>
      </c>
      <c r="L884" s="254">
        <v>-20.875799999999998</v>
      </c>
      <c r="M884" s="254">
        <v>-18.032786885245901</v>
      </c>
    </row>
    <row r="885" spans="1:13" ht="25.05" customHeight="1" x14ac:dyDescent="0.3">
      <c r="A885" s="253" t="s">
        <v>1213</v>
      </c>
      <c r="B885" s="252" t="s">
        <v>1232</v>
      </c>
      <c r="C885" s="252" t="s">
        <v>1233</v>
      </c>
      <c r="D885" s="252" t="s">
        <v>62</v>
      </c>
      <c r="E885" s="252" t="s">
        <v>46</v>
      </c>
      <c r="F885" s="253" t="s">
        <v>250</v>
      </c>
      <c r="G885" s="253" t="s">
        <v>251</v>
      </c>
      <c r="H885" s="254">
        <v>23.8</v>
      </c>
      <c r="I885" s="254">
        <v>26.4</v>
      </c>
      <c r="J885" s="254">
        <v>225.83819999999997</v>
      </c>
      <c r="K885" s="254">
        <v>250.50959999999998</v>
      </c>
      <c r="L885" s="254">
        <v>-24.671400000000006</v>
      </c>
      <c r="M885" s="254">
        <v>-9.8484848484848531</v>
      </c>
    </row>
    <row r="886" spans="1:13" ht="25.05" customHeight="1" x14ac:dyDescent="0.3">
      <c r="A886" s="253" t="s">
        <v>1213</v>
      </c>
      <c r="B886" s="252" t="s">
        <v>1234</v>
      </c>
      <c r="C886" s="252" t="s">
        <v>1235</v>
      </c>
      <c r="D886" s="252" t="s">
        <v>62</v>
      </c>
      <c r="E886" s="252" t="s">
        <v>46</v>
      </c>
      <c r="F886" s="253" t="s">
        <v>250</v>
      </c>
      <c r="G886" s="253" t="s">
        <v>251</v>
      </c>
      <c r="H886" s="254">
        <v>34.6</v>
      </c>
      <c r="I886" s="254">
        <v>37.5</v>
      </c>
      <c r="J886" s="254">
        <v>328.31939999999997</v>
      </c>
      <c r="K886" s="254">
        <v>355.83749999999998</v>
      </c>
      <c r="L886" s="254">
        <v>-27.518100000000004</v>
      </c>
      <c r="M886" s="254">
        <v>-7.7333333333333352</v>
      </c>
    </row>
    <row r="887" spans="1:13" ht="25.05" customHeight="1" x14ac:dyDescent="0.3">
      <c r="A887" s="253" t="s">
        <v>1213</v>
      </c>
      <c r="B887" s="252" t="s">
        <v>1236</v>
      </c>
      <c r="C887" s="252" t="s">
        <v>1237</v>
      </c>
      <c r="D887" s="252" t="s">
        <v>129</v>
      </c>
      <c r="E887" s="252" t="s">
        <v>46</v>
      </c>
      <c r="F887" s="253" t="s">
        <v>250</v>
      </c>
      <c r="G887" s="253" t="s">
        <v>251</v>
      </c>
      <c r="H887" s="254">
        <v>9.8000000000000007</v>
      </c>
      <c r="I887" s="254">
        <v>11.6</v>
      </c>
      <c r="J887" s="254">
        <v>92.992199999999997</v>
      </c>
      <c r="K887" s="254">
        <v>110.07239999999999</v>
      </c>
      <c r="L887" s="254">
        <v>-17.080199999999991</v>
      </c>
      <c r="M887" s="254">
        <v>-15.517241379310336</v>
      </c>
    </row>
    <row r="888" spans="1:13" ht="25.05" customHeight="1" x14ac:dyDescent="0.3">
      <c r="A888" s="253" t="s">
        <v>1213</v>
      </c>
      <c r="B888" s="252" t="s">
        <v>1238</v>
      </c>
      <c r="C888" s="252" t="s">
        <v>1229</v>
      </c>
      <c r="D888" s="252" t="s">
        <v>97</v>
      </c>
      <c r="E888" s="252" t="s">
        <v>46</v>
      </c>
      <c r="F888" s="253" t="s">
        <v>250</v>
      </c>
      <c r="G888" s="253" t="s">
        <v>251</v>
      </c>
      <c r="H888" s="254">
        <v>7.6</v>
      </c>
      <c r="I888" s="254">
        <v>8.6</v>
      </c>
      <c r="J888" s="254">
        <v>72.116399999999999</v>
      </c>
      <c r="K888" s="254">
        <v>81.605399999999989</v>
      </c>
      <c r="L888" s="254">
        <v>-9.4889999999999901</v>
      </c>
      <c r="M888" s="254">
        <v>-11.627906976744177</v>
      </c>
    </row>
    <row r="889" spans="1:13" ht="25.05" customHeight="1" x14ac:dyDescent="0.3">
      <c r="A889" s="253" t="s">
        <v>1213</v>
      </c>
      <c r="B889" s="252" t="s">
        <v>1239</v>
      </c>
      <c r="C889" s="252" t="s">
        <v>1240</v>
      </c>
      <c r="D889" s="252" t="s">
        <v>49</v>
      </c>
      <c r="E889" s="252" t="s">
        <v>46</v>
      </c>
      <c r="F889" s="253" t="s">
        <v>250</v>
      </c>
      <c r="G889" s="253" t="s">
        <v>251</v>
      </c>
      <c r="H889" s="254">
        <v>7.2</v>
      </c>
      <c r="I889" s="254">
        <v>9.4</v>
      </c>
      <c r="J889" s="254">
        <v>68.320799999999991</v>
      </c>
      <c r="K889" s="254">
        <v>89.196599999999989</v>
      </c>
      <c r="L889" s="254">
        <v>-20.875799999999998</v>
      </c>
      <c r="M889" s="254">
        <v>-23.404255319148938</v>
      </c>
    </row>
    <row r="890" spans="1:13" ht="25.05" customHeight="1" x14ac:dyDescent="0.3">
      <c r="A890" s="253" t="s">
        <v>1213</v>
      </c>
      <c r="B890" s="252" t="s">
        <v>465</v>
      </c>
      <c r="C890" s="252" t="s">
        <v>466</v>
      </c>
      <c r="D890" s="252" t="s">
        <v>49</v>
      </c>
      <c r="E890" s="252" t="s">
        <v>46</v>
      </c>
      <c r="F890" s="253" t="s">
        <v>250</v>
      </c>
      <c r="G890" s="253" t="s">
        <v>251</v>
      </c>
      <c r="H890" s="254">
        <v>31.4</v>
      </c>
      <c r="I890" s="254">
        <v>31</v>
      </c>
      <c r="J890" s="254">
        <v>297.95459999999997</v>
      </c>
      <c r="K890" s="254">
        <v>294.15899999999999</v>
      </c>
      <c r="L890" s="254">
        <v>3.795599999999979</v>
      </c>
      <c r="M890" s="254">
        <v>1.2903225806451541</v>
      </c>
    </row>
    <row r="891" spans="1:13" ht="25.05" customHeight="1" x14ac:dyDescent="0.3">
      <c r="A891" s="253" t="s">
        <v>1213</v>
      </c>
      <c r="B891" s="252" t="s">
        <v>30</v>
      </c>
      <c r="C891" s="252">
        <v>0</v>
      </c>
      <c r="D891" s="252" t="s">
        <v>30</v>
      </c>
      <c r="E891" s="252" t="s">
        <v>20</v>
      </c>
      <c r="F891" s="253" t="s">
        <v>250</v>
      </c>
      <c r="G891" s="253" t="s">
        <v>251</v>
      </c>
      <c r="H891" s="254">
        <v>10.3</v>
      </c>
      <c r="I891" s="254">
        <v>14.5</v>
      </c>
      <c r="J891" s="254">
        <v>97.736699999999985</v>
      </c>
      <c r="K891" s="254">
        <v>137.59049999999999</v>
      </c>
      <c r="L891" s="254">
        <v>-39.853800000000007</v>
      </c>
      <c r="M891" s="254">
        <v>-28.965517241379317</v>
      </c>
    </row>
    <row r="892" spans="1:13" ht="25.05" customHeight="1" x14ac:dyDescent="0.3">
      <c r="A892" s="253" t="s">
        <v>1213</v>
      </c>
      <c r="B892" s="252" t="s">
        <v>1241</v>
      </c>
      <c r="C892" s="252">
        <v>0</v>
      </c>
      <c r="D892" s="252">
        <v>0</v>
      </c>
      <c r="E892" s="252" t="s">
        <v>20</v>
      </c>
      <c r="F892" s="253" t="s">
        <v>250</v>
      </c>
      <c r="G892" s="253" t="s">
        <v>251</v>
      </c>
      <c r="H892" s="254">
        <v>107.4</v>
      </c>
      <c r="I892" s="254">
        <v>113.4</v>
      </c>
      <c r="J892" s="254">
        <v>1019.1185999999999</v>
      </c>
      <c r="K892" s="254">
        <v>1076.0526</v>
      </c>
      <c r="L892" s="254">
        <v>-56.934000000000083</v>
      </c>
      <c r="M892" s="254">
        <v>-5.2910052910052991</v>
      </c>
    </row>
    <row r="893" spans="1:13" ht="25.05" customHeight="1" x14ac:dyDescent="0.3">
      <c r="A893" s="253" t="s">
        <v>1213</v>
      </c>
      <c r="B893" s="252" t="s">
        <v>1242</v>
      </c>
      <c r="C893" s="252">
        <v>0</v>
      </c>
      <c r="D893" s="252">
        <v>0</v>
      </c>
      <c r="E893" s="252" t="s">
        <v>20</v>
      </c>
      <c r="F893" s="253" t="s">
        <v>250</v>
      </c>
      <c r="G893" s="253" t="s">
        <v>251</v>
      </c>
      <c r="H893" s="254">
        <v>436.8</v>
      </c>
      <c r="I893" s="254">
        <v>450.2</v>
      </c>
      <c r="J893" s="254">
        <v>4144.7951999999996</v>
      </c>
      <c r="K893" s="254">
        <v>4271.9477999999999</v>
      </c>
      <c r="L893" s="254">
        <v>-127.15260000000035</v>
      </c>
      <c r="M893" s="254">
        <v>-2.976454908929373</v>
      </c>
    </row>
    <row r="894" spans="1:13" ht="25.05" customHeight="1" x14ac:dyDescent="0.3">
      <c r="A894" s="253" t="s">
        <v>1213</v>
      </c>
      <c r="B894" s="252" t="s">
        <v>1243</v>
      </c>
      <c r="C894" s="252">
        <v>0</v>
      </c>
      <c r="D894" s="252">
        <v>0</v>
      </c>
      <c r="E894" s="252" t="s">
        <v>20</v>
      </c>
      <c r="F894" s="253" t="s">
        <v>250</v>
      </c>
      <c r="G894" s="253" t="s">
        <v>251</v>
      </c>
      <c r="H894" s="254">
        <v>955.2</v>
      </c>
      <c r="I894" s="254">
        <v>924.3</v>
      </c>
      <c r="J894" s="254">
        <v>9063.8927999999996</v>
      </c>
      <c r="K894" s="254">
        <v>8770.6826999999994</v>
      </c>
      <c r="L894" s="254">
        <v>293.21010000000024</v>
      </c>
      <c r="M894" s="254">
        <v>3.3430704316780293</v>
      </c>
    </row>
    <row r="895" spans="1:13" ht="25.05" customHeight="1" x14ac:dyDescent="0.3">
      <c r="A895" s="253" t="s">
        <v>1213</v>
      </c>
      <c r="B895" s="252" t="s">
        <v>1244</v>
      </c>
      <c r="C895" s="252">
        <v>0</v>
      </c>
      <c r="D895" s="252">
        <v>0</v>
      </c>
      <c r="E895" s="252" t="s">
        <v>20</v>
      </c>
      <c r="F895" s="253" t="s">
        <v>250</v>
      </c>
      <c r="G895" s="253" t="s">
        <v>251</v>
      </c>
      <c r="H895" s="254">
        <v>334.1</v>
      </c>
      <c r="I895" s="254">
        <v>333.8</v>
      </c>
      <c r="J895" s="254">
        <v>3170.2748999999999</v>
      </c>
      <c r="K895" s="254">
        <v>3167.4281999999998</v>
      </c>
      <c r="L895" s="254">
        <v>2.8467000000000553</v>
      </c>
      <c r="M895" s="254">
        <v>8.9874176153387011E-2</v>
      </c>
    </row>
    <row r="896" spans="1:13" ht="25.05" customHeight="1" x14ac:dyDescent="0.3">
      <c r="A896" s="253" t="s">
        <v>1213</v>
      </c>
      <c r="B896" s="252" t="s">
        <v>1245</v>
      </c>
      <c r="C896" s="252">
        <v>0</v>
      </c>
      <c r="D896" s="252">
        <v>0</v>
      </c>
      <c r="E896" s="252" t="s">
        <v>20</v>
      </c>
      <c r="F896" s="253" t="s">
        <v>250</v>
      </c>
      <c r="G896" s="253" t="s">
        <v>251</v>
      </c>
      <c r="H896" s="254">
        <v>31.4</v>
      </c>
      <c r="I896" s="254">
        <v>33.6</v>
      </c>
      <c r="J896" s="254">
        <v>297.95459999999997</v>
      </c>
      <c r="K896" s="254">
        <v>318.8304</v>
      </c>
      <c r="L896" s="254">
        <v>-20.875800000000027</v>
      </c>
      <c r="M896" s="254">
        <v>-6.5476190476190563</v>
      </c>
    </row>
    <row r="897" spans="1:13" ht="25.05" customHeight="1" x14ac:dyDescent="0.3">
      <c r="A897" s="253" t="s">
        <v>1213</v>
      </c>
      <c r="B897" s="252" t="s">
        <v>1246</v>
      </c>
      <c r="C897" s="252">
        <v>0</v>
      </c>
      <c r="D897" s="252">
        <v>0</v>
      </c>
      <c r="E897" s="252" t="s">
        <v>20</v>
      </c>
      <c r="F897" s="253" t="s">
        <v>250</v>
      </c>
      <c r="G897" s="253" t="s">
        <v>251</v>
      </c>
      <c r="H897" s="254">
        <v>140.1</v>
      </c>
      <c r="I897" s="254">
        <v>143.80000000000001</v>
      </c>
      <c r="J897" s="254">
        <v>1329.4088999999999</v>
      </c>
      <c r="K897" s="254">
        <v>1364.5182</v>
      </c>
      <c r="L897" s="254">
        <v>-35.109300000000076</v>
      </c>
      <c r="M897" s="254">
        <v>-2.5730180806675995</v>
      </c>
    </row>
    <row r="898" spans="1:13" ht="25.05" customHeight="1" x14ac:dyDescent="0.3">
      <c r="A898" s="253" t="s">
        <v>1213</v>
      </c>
      <c r="B898" s="252" t="s">
        <v>1247</v>
      </c>
      <c r="C898" s="252">
        <v>0</v>
      </c>
      <c r="D898" s="252">
        <v>0</v>
      </c>
      <c r="E898" s="252" t="s">
        <v>20</v>
      </c>
      <c r="F898" s="253" t="s">
        <v>250</v>
      </c>
      <c r="G898" s="253" t="s">
        <v>251</v>
      </c>
      <c r="H898" s="254">
        <v>-37.9</v>
      </c>
      <c r="I898" s="254">
        <v>-39.200000000000003</v>
      </c>
      <c r="J898" s="254">
        <v>-359.63309999999996</v>
      </c>
      <c r="K898" s="254">
        <v>-371.96879999999999</v>
      </c>
      <c r="L898" s="254">
        <v>12.335700000000031</v>
      </c>
      <c r="M898" s="254">
        <v>-3.3163265306122534</v>
      </c>
    </row>
    <row r="899" spans="1:13" ht="25.05" customHeight="1" x14ac:dyDescent="0.3">
      <c r="A899" s="267" t="s">
        <v>1213</v>
      </c>
      <c r="B899" s="268" t="s">
        <v>248</v>
      </c>
      <c r="C899" s="268">
        <v>0</v>
      </c>
      <c r="D899" s="268">
        <v>0</v>
      </c>
      <c r="E899" s="268" t="s">
        <v>20</v>
      </c>
      <c r="F899" s="267" t="s">
        <v>250</v>
      </c>
      <c r="G899" s="267" t="s">
        <v>251</v>
      </c>
      <c r="H899" s="269">
        <v>1422.8</v>
      </c>
      <c r="I899" s="269">
        <v>1396.2</v>
      </c>
      <c r="J899" s="269">
        <v>13500.949199999999</v>
      </c>
      <c r="K899" s="269">
        <v>13248.541799999999</v>
      </c>
      <c r="L899" s="269">
        <v>252.40740000000005</v>
      </c>
      <c r="M899" s="269">
        <v>1.9051711789141963</v>
      </c>
    </row>
    <row r="900" spans="1:13" ht="25.05" customHeight="1" x14ac:dyDescent="0.3">
      <c r="A900" s="253" t="s">
        <v>1248</v>
      </c>
      <c r="B900" s="252" t="s">
        <v>457</v>
      </c>
      <c r="C900" s="252" t="s">
        <v>458</v>
      </c>
      <c r="D900" s="252" t="s">
        <v>129</v>
      </c>
      <c r="E900" s="252" t="s">
        <v>46</v>
      </c>
      <c r="F900" s="253" t="s">
        <v>21</v>
      </c>
      <c r="G900" s="253" t="s">
        <v>22</v>
      </c>
      <c r="H900" s="254">
        <v>4949</v>
      </c>
      <c r="I900" s="254">
        <v>4220</v>
      </c>
      <c r="J900" s="254">
        <v>4949</v>
      </c>
      <c r="K900" s="254">
        <v>4220</v>
      </c>
      <c r="L900" s="254">
        <v>729</v>
      </c>
      <c r="M900" s="254">
        <v>17.27488151658768</v>
      </c>
    </row>
    <row r="901" spans="1:13" ht="25.05" customHeight="1" x14ac:dyDescent="0.3">
      <c r="A901" s="253" t="s">
        <v>1248</v>
      </c>
      <c r="B901" s="252" t="s">
        <v>1249</v>
      </c>
      <c r="C901" s="252" t="s">
        <v>1250</v>
      </c>
      <c r="D901" s="252" t="s">
        <v>62</v>
      </c>
      <c r="E901" s="252" t="s">
        <v>46</v>
      </c>
      <c r="F901" s="253" t="s">
        <v>21</v>
      </c>
      <c r="G901" s="253" t="s">
        <v>22</v>
      </c>
      <c r="H901" s="254">
        <v>919</v>
      </c>
      <c r="I901" s="254">
        <v>1107</v>
      </c>
      <c r="J901" s="254">
        <v>919</v>
      </c>
      <c r="K901" s="254">
        <v>1107</v>
      </c>
      <c r="L901" s="254">
        <v>-188</v>
      </c>
      <c r="M901" s="254">
        <v>-16.982836495031616</v>
      </c>
    </row>
    <row r="902" spans="1:13" ht="25.05" customHeight="1" x14ac:dyDescent="0.3">
      <c r="A902" s="253" t="s">
        <v>1248</v>
      </c>
      <c r="B902" s="252" t="s">
        <v>1251</v>
      </c>
      <c r="C902" s="252" t="s">
        <v>1252</v>
      </c>
      <c r="D902" s="252" t="s">
        <v>81</v>
      </c>
      <c r="E902" s="252" t="s">
        <v>46</v>
      </c>
      <c r="F902" s="253" t="s">
        <v>21</v>
      </c>
      <c r="G902" s="253" t="s">
        <v>22</v>
      </c>
      <c r="H902" s="254">
        <v>680</v>
      </c>
      <c r="I902" s="254">
        <v>734</v>
      </c>
      <c r="J902" s="254">
        <v>680</v>
      </c>
      <c r="K902" s="254">
        <v>734</v>
      </c>
      <c r="L902" s="254">
        <v>-54</v>
      </c>
      <c r="M902" s="254">
        <v>-7.3569482288828345</v>
      </c>
    </row>
    <row r="903" spans="1:13" ht="25.05" customHeight="1" x14ac:dyDescent="0.3">
      <c r="A903" s="253" t="s">
        <v>1248</v>
      </c>
      <c r="B903" s="252" t="s">
        <v>1253</v>
      </c>
      <c r="C903" s="252" t="s">
        <v>1254</v>
      </c>
      <c r="D903" s="252" t="s">
        <v>126</v>
      </c>
      <c r="E903" s="252" t="s">
        <v>40</v>
      </c>
      <c r="F903" s="253" t="s">
        <v>21</v>
      </c>
      <c r="G903" s="253" t="s">
        <v>22</v>
      </c>
      <c r="H903" s="254">
        <v>274</v>
      </c>
      <c r="I903" s="254">
        <v>287</v>
      </c>
      <c r="J903" s="254">
        <v>274</v>
      </c>
      <c r="K903" s="254">
        <v>287</v>
      </c>
      <c r="L903" s="254">
        <v>-13</v>
      </c>
      <c r="M903" s="254">
        <v>-4.529616724738676</v>
      </c>
    </row>
    <row r="904" spans="1:13" ht="25.05" customHeight="1" x14ac:dyDescent="0.3">
      <c r="A904" s="253" t="s">
        <v>1248</v>
      </c>
      <c r="B904" s="252" t="s">
        <v>1255</v>
      </c>
      <c r="C904" s="252" t="s">
        <v>1256</v>
      </c>
      <c r="D904" s="252" t="s">
        <v>258</v>
      </c>
      <c r="E904" s="252" t="s">
        <v>46</v>
      </c>
      <c r="F904" s="253" t="s">
        <v>21</v>
      </c>
      <c r="G904" s="253" t="s">
        <v>22</v>
      </c>
      <c r="H904" s="254">
        <v>252</v>
      </c>
      <c r="I904" s="254">
        <v>250</v>
      </c>
      <c r="J904" s="254">
        <v>252</v>
      </c>
      <c r="K904" s="254">
        <v>250</v>
      </c>
      <c r="L904" s="254">
        <v>2</v>
      </c>
      <c r="M904" s="254">
        <v>0.8</v>
      </c>
    </row>
    <row r="905" spans="1:13" ht="25.05" customHeight="1" x14ac:dyDescent="0.3">
      <c r="A905" s="253" t="s">
        <v>1248</v>
      </c>
      <c r="B905" s="252" t="s">
        <v>1257</v>
      </c>
      <c r="C905" s="252">
        <v>0</v>
      </c>
      <c r="D905" s="252">
        <v>0</v>
      </c>
      <c r="E905" s="252" t="s">
        <v>20</v>
      </c>
      <c r="F905" s="253" t="s">
        <v>21</v>
      </c>
      <c r="G905" s="253" t="s">
        <v>22</v>
      </c>
      <c r="H905" s="254">
        <v>1930</v>
      </c>
      <c r="I905" s="254">
        <v>2192</v>
      </c>
      <c r="J905" s="254">
        <v>1930</v>
      </c>
      <c r="K905" s="254">
        <v>2192</v>
      </c>
      <c r="L905" s="254">
        <v>-262</v>
      </c>
      <c r="M905" s="254">
        <v>-11.952554744525548</v>
      </c>
    </row>
    <row r="906" spans="1:13" ht="25.05" customHeight="1" x14ac:dyDescent="0.3">
      <c r="A906" s="253" t="s">
        <v>1248</v>
      </c>
      <c r="B906" s="252" t="s">
        <v>1258</v>
      </c>
      <c r="C906" s="252">
        <v>0</v>
      </c>
      <c r="D906" s="252">
        <v>0</v>
      </c>
      <c r="E906" s="252" t="s">
        <v>20</v>
      </c>
      <c r="F906" s="253" t="s">
        <v>21</v>
      </c>
      <c r="G906" s="253" t="s">
        <v>22</v>
      </c>
      <c r="H906" s="254">
        <v>9003</v>
      </c>
      <c r="I906" s="254">
        <v>8790</v>
      </c>
      <c r="J906" s="254">
        <v>9003</v>
      </c>
      <c r="K906" s="254">
        <v>8790</v>
      </c>
      <c r="L906" s="254">
        <v>213</v>
      </c>
      <c r="M906" s="254">
        <v>2.4232081911262795</v>
      </c>
    </row>
    <row r="907" spans="1:13" ht="25.05" customHeight="1" x14ac:dyDescent="0.3">
      <c r="A907" s="253" t="s">
        <v>1248</v>
      </c>
      <c r="B907" s="252" t="s">
        <v>1259</v>
      </c>
      <c r="C907" s="252" t="s">
        <v>1260</v>
      </c>
      <c r="D907" s="252" t="s">
        <v>49</v>
      </c>
      <c r="E907" s="252" t="s">
        <v>46</v>
      </c>
      <c r="F907" s="253" t="s">
        <v>21</v>
      </c>
      <c r="G907" s="253" t="s">
        <v>22</v>
      </c>
      <c r="H907" s="254">
        <v>5392</v>
      </c>
      <c r="I907" s="254">
        <v>4961</v>
      </c>
      <c r="J907" s="254">
        <v>5392</v>
      </c>
      <c r="K907" s="254">
        <v>4961</v>
      </c>
      <c r="L907" s="254">
        <v>431</v>
      </c>
      <c r="M907" s="254">
        <v>8.6877645635960494</v>
      </c>
    </row>
    <row r="908" spans="1:13" ht="25.05" customHeight="1" x14ac:dyDescent="0.3">
      <c r="A908" s="253" t="s">
        <v>1248</v>
      </c>
      <c r="B908" s="252" t="s">
        <v>1261</v>
      </c>
      <c r="C908" s="252" t="s">
        <v>1262</v>
      </c>
      <c r="D908" s="252" t="s">
        <v>49</v>
      </c>
      <c r="E908" s="252" t="s">
        <v>46</v>
      </c>
      <c r="F908" s="253" t="s">
        <v>21</v>
      </c>
      <c r="G908" s="253" t="s">
        <v>22</v>
      </c>
      <c r="H908" s="254">
        <v>1024</v>
      </c>
      <c r="I908" s="254">
        <v>838</v>
      </c>
      <c r="J908" s="254">
        <v>1024</v>
      </c>
      <c r="K908" s="254">
        <v>838</v>
      </c>
      <c r="L908" s="254">
        <v>186</v>
      </c>
      <c r="M908" s="254">
        <v>22.195704057279237</v>
      </c>
    </row>
    <row r="909" spans="1:13" ht="25.05" customHeight="1" x14ac:dyDescent="0.3">
      <c r="A909" s="253" t="s">
        <v>1248</v>
      </c>
      <c r="B909" s="252" t="s">
        <v>1263</v>
      </c>
      <c r="C909" s="252" t="s">
        <v>1264</v>
      </c>
      <c r="D909" s="252" t="s">
        <v>49</v>
      </c>
      <c r="E909" s="252" t="s">
        <v>46</v>
      </c>
      <c r="F909" s="253" t="s">
        <v>21</v>
      </c>
      <c r="G909" s="253" t="s">
        <v>22</v>
      </c>
      <c r="H909" s="254">
        <v>819</v>
      </c>
      <c r="I909" s="254">
        <v>936</v>
      </c>
      <c r="J909" s="254">
        <v>819</v>
      </c>
      <c r="K909" s="254">
        <v>936</v>
      </c>
      <c r="L909" s="254">
        <v>-117</v>
      </c>
      <c r="M909" s="254">
        <v>-12.5</v>
      </c>
    </row>
    <row r="910" spans="1:13" ht="25.05" customHeight="1" x14ac:dyDescent="0.3">
      <c r="A910" s="253" t="s">
        <v>1248</v>
      </c>
      <c r="B910" s="252" t="s">
        <v>1265</v>
      </c>
      <c r="C910" s="252" t="s">
        <v>1266</v>
      </c>
      <c r="D910" s="252" t="s">
        <v>49</v>
      </c>
      <c r="E910" s="252" t="s">
        <v>46</v>
      </c>
      <c r="F910" s="253" t="s">
        <v>21</v>
      </c>
      <c r="G910" s="253" t="s">
        <v>22</v>
      </c>
      <c r="H910" s="254">
        <v>787</v>
      </c>
      <c r="I910" s="254">
        <v>477</v>
      </c>
      <c r="J910" s="254">
        <v>787</v>
      </c>
      <c r="K910" s="254">
        <v>477</v>
      </c>
      <c r="L910" s="254">
        <v>310</v>
      </c>
      <c r="M910" s="254">
        <v>64.989517819706492</v>
      </c>
    </row>
    <row r="911" spans="1:13" ht="25.05" customHeight="1" x14ac:dyDescent="0.3">
      <c r="A911" s="253" t="s">
        <v>1248</v>
      </c>
      <c r="B911" s="252" t="s">
        <v>1267</v>
      </c>
      <c r="C911" s="252" t="s">
        <v>1268</v>
      </c>
      <c r="D911" s="252" t="s">
        <v>49</v>
      </c>
      <c r="E911" s="252" t="s">
        <v>46</v>
      </c>
      <c r="F911" s="253" t="s">
        <v>21</v>
      </c>
      <c r="G911" s="253" t="s">
        <v>22</v>
      </c>
      <c r="H911" s="254">
        <v>544</v>
      </c>
      <c r="I911" s="254">
        <v>530</v>
      </c>
      <c r="J911" s="254">
        <v>544</v>
      </c>
      <c r="K911" s="254">
        <v>530</v>
      </c>
      <c r="L911" s="254">
        <v>14</v>
      </c>
      <c r="M911" s="254">
        <v>2.6415094339622645</v>
      </c>
    </row>
    <row r="912" spans="1:13" ht="25.05" customHeight="1" x14ac:dyDescent="0.3">
      <c r="A912" s="253" t="s">
        <v>1248</v>
      </c>
      <c r="B912" s="252" t="s">
        <v>1269</v>
      </c>
      <c r="C912" s="252" t="s">
        <v>1270</v>
      </c>
      <c r="D912" s="252" t="s">
        <v>49</v>
      </c>
      <c r="E912" s="252" t="s">
        <v>46</v>
      </c>
      <c r="F912" s="253" t="s">
        <v>21</v>
      </c>
      <c r="G912" s="253" t="s">
        <v>22</v>
      </c>
      <c r="H912" s="254">
        <v>450</v>
      </c>
      <c r="I912" s="254">
        <v>365</v>
      </c>
      <c r="J912" s="254">
        <v>450</v>
      </c>
      <c r="K912" s="254">
        <v>365</v>
      </c>
      <c r="L912" s="254">
        <v>85</v>
      </c>
      <c r="M912" s="254">
        <v>23.287671232876711</v>
      </c>
    </row>
    <row r="913" spans="1:13" ht="25.05" customHeight="1" x14ac:dyDescent="0.3">
      <c r="A913" s="253" t="s">
        <v>1248</v>
      </c>
      <c r="B913" s="252" t="s">
        <v>1271</v>
      </c>
      <c r="C913" s="252" t="s">
        <v>1272</v>
      </c>
      <c r="D913" s="252" t="s">
        <v>49</v>
      </c>
      <c r="E913" s="252" t="s">
        <v>40</v>
      </c>
      <c r="F913" s="253" t="s">
        <v>21</v>
      </c>
      <c r="G913" s="253" t="s">
        <v>22</v>
      </c>
      <c r="H913" s="254">
        <v>386</v>
      </c>
      <c r="I913" s="254">
        <v>225</v>
      </c>
      <c r="J913" s="254">
        <v>386</v>
      </c>
      <c r="K913" s="254">
        <v>225</v>
      </c>
      <c r="L913" s="254">
        <v>161</v>
      </c>
      <c r="M913" s="254">
        <v>71.555555555555543</v>
      </c>
    </row>
    <row r="914" spans="1:13" ht="25.05" customHeight="1" x14ac:dyDescent="0.3">
      <c r="A914" s="253" t="s">
        <v>1248</v>
      </c>
      <c r="B914" s="252" t="s">
        <v>1273</v>
      </c>
      <c r="C914" s="252" t="s">
        <v>1274</v>
      </c>
      <c r="D914" s="252" t="s">
        <v>49</v>
      </c>
      <c r="E914" s="252" t="s">
        <v>46</v>
      </c>
      <c r="F914" s="253" t="s">
        <v>21</v>
      </c>
      <c r="G914" s="253" t="s">
        <v>22</v>
      </c>
      <c r="H914" s="254">
        <v>204</v>
      </c>
      <c r="I914" s="254">
        <v>115</v>
      </c>
      <c r="J914" s="254">
        <v>204</v>
      </c>
      <c r="K914" s="254">
        <v>115</v>
      </c>
      <c r="L914" s="254">
        <v>89</v>
      </c>
      <c r="M914" s="254">
        <v>77.391304347826079</v>
      </c>
    </row>
    <row r="915" spans="1:13" ht="25.05" customHeight="1" x14ac:dyDescent="0.3">
      <c r="A915" s="253" t="s">
        <v>1248</v>
      </c>
      <c r="B915" s="252" t="s">
        <v>1275</v>
      </c>
      <c r="C915" s="252" t="s">
        <v>1276</v>
      </c>
      <c r="D915" s="252" t="s">
        <v>49</v>
      </c>
      <c r="E915" s="252" t="s">
        <v>40</v>
      </c>
      <c r="F915" s="253" t="s">
        <v>21</v>
      </c>
      <c r="G915" s="253" t="s">
        <v>22</v>
      </c>
      <c r="H915" s="254">
        <v>170</v>
      </c>
      <c r="I915" s="254">
        <v>-1</v>
      </c>
      <c r="J915" s="254">
        <v>170</v>
      </c>
      <c r="K915" s="254">
        <v>-1</v>
      </c>
      <c r="L915" s="254">
        <v>171</v>
      </c>
      <c r="M915" s="254"/>
    </row>
    <row r="916" spans="1:13" ht="25.05" customHeight="1" x14ac:dyDescent="0.3">
      <c r="A916" s="253" t="s">
        <v>1248</v>
      </c>
      <c r="B916" s="252" t="s">
        <v>1277</v>
      </c>
      <c r="C916" s="252" t="s">
        <v>1278</v>
      </c>
      <c r="D916" s="252" t="s">
        <v>49</v>
      </c>
      <c r="E916" s="252" t="s">
        <v>46</v>
      </c>
      <c r="F916" s="253" t="s">
        <v>21</v>
      </c>
      <c r="G916" s="253" t="s">
        <v>22</v>
      </c>
      <c r="H916" s="254">
        <v>160</v>
      </c>
      <c r="I916" s="254">
        <v>48</v>
      </c>
      <c r="J916" s="254">
        <v>160</v>
      </c>
      <c r="K916" s="254">
        <v>48</v>
      </c>
      <c r="L916" s="254">
        <v>112</v>
      </c>
      <c r="M916" s="254"/>
    </row>
    <row r="917" spans="1:13" ht="25.05" customHeight="1" x14ac:dyDescent="0.3">
      <c r="A917" s="253" t="s">
        <v>1248</v>
      </c>
      <c r="B917" s="252" t="s">
        <v>1279</v>
      </c>
      <c r="C917" s="252" t="s">
        <v>1280</v>
      </c>
      <c r="D917" s="252" t="s">
        <v>49</v>
      </c>
      <c r="E917" s="252" t="s">
        <v>40</v>
      </c>
      <c r="F917" s="253" t="s">
        <v>21</v>
      </c>
      <c r="G917" s="253" t="s">
        <v>22</v>
      </c>
      <c r="H917" s="254">
        <v>143</v>
      </c>
      <c r="I917" s="254">
        <v>1</v>
      </c>
      <c r="J917" s="254">
        <v>143</v>
      </c>
      <c r="K917" s="254">
        <v>1</v>
      </c>
      <c r="L917" s="254">
        <v>142</v>
      </c>
      <c r="M917" s="254"/>
    </row>
    <row r="918" spans="1:13" ht="25.05" customHeight="1" x14ac:dyDescent="0.3">
      <c r="A918" s="253" t="s">
        <v>1248</v>
      </c>
      <c r="B918" s="252" t="s">
        <v>1281</v>
      </c>
      <c r="C918" s="252" t="s">
        <v>1282</v>
      </c>
      <c r="D918" s="252" t="s">
        <v>49</v>
      </c>
      <c r="E918" s="252" t="s">
        <v>46</v>
      </c>
      <c r="F918" s="253" t="s">
        <v>21</v>
      </c>
      <c r="G918" s="253" t="s">
        <v>22</v>
      </c>
      <c r="H918" s="254">
        <v>142</v>
      </c>
      <c r="I918" s="254">
        <v>49</v>
      </c>
      <c r="J918" s="254">
        <v>142</v>
      </c>
      <c r="K918" s="254">
        <v>49</v>
      </c>
      <c r="L918" s="254">
        <v>93</v>
      </c>
      <c r="M918" s="254"/>
    </row>
    <row r="919" spans="1:13" ht="25.05" customHeight="1" x14ac:dyDescent="0.3">
      <c r="A919" s="253" t="s">
        <v>1248</v>
      </c>
      <c r="B919" s="252" t="s">
        <v>1283</v>
      </c>
      <c r="C919" s="252">
        <v>0</v>
      </c>
      <c r="D919" s="252" t="s">
        <v>49</v>
      </c>
      <c r="E919" s="252" t="s">
        <v>20</v>
      </c>
      <c r="F919" s="253" t="s">
        <v>21</v>
      </c>
      <c r="G919" s="253" t="s">
        <v>22</v>
      </c>
      <c r="H919" s="254">
        <v>645</v>
      </c>
      <c r="I919" s="254">
        <v>470</v>
      </c>
      <c r="J919" s="254">
        <v>645</v>
      </c>
      <c r="K919" s="254">
        <v>470</v>
      </c>
      <c r="L919" s="254">
        <v>175</v>
      </c>
      <c r="M919" s="254">
        <v>37.234042553191486</v>
      </c>
    </row>
    <row r="920" spans="1:13" ht="25.05" customHeight="1" x14ac:dyDescent="0.3">
      <c r="A920" s="253" t="s">
        <v>1248</v>
      </c>
      <c r="B920" s="252" t="s">
        <v>49</v>
      </c>
      <c r="C920" s="252">
        <v>0</v>
      </c>
      <c r="D920" s="252" t="s">
        <v>49</v>
      </c>
      <c r="E920" s="252" t="s">
        <v>20</v>
      </c>
      <c r="F920" s="253" t="s">
        <v>21</v>
      </c>
      <c r="G920" s="253" t="s">
        <v>22</v>
      </c>
      <c r="H920" s="254">
        <v>10867</v>
      </c>
      <c r="I920" s="254">
        <v>9014</v>
      </c>
      <c r="J920" s="254">
        <v>10867</v>
      </c>
      <c r="K920" s="254">
        <v>9014</v>
      </c>
      <c r="L920" s="254">
        <v>1853</v>
      </c>
      <c r="M920" s="254">
        <v>20.556911471045041</v>
      </c>
    </row>
    <row r="921" spans="1:13" ht="25.05" customHeight="1" x14ac:dyDescent="0.3">
      <c r="A921" s="253" t="s">
        <v>1248</v>
      </c>
      <c r="B921" s="252" t="s">
        <v>1284</v>
      </c>
      <c r="C921" s="252" t="s">
        <v>1285</v>
      </c>
      <c r="D921" s="252" t="s">
        <v>258</v>
      </c>
      <c r="E921" s="252" t="s">
        <v>46</v>
      </c>
      <c r="F921" s="253" t="s">
        <v>21</v>
      </c>
      <c r="G921" s="253" t="s">
        <v>22</v>
      </c>
      <c r="H921" s="254">
        <v>618</v>
      </c>
      <c r="I921" s="254">
        <v>684</v>
      </c>
      <c r="J921" s="254">
        <v>618</v>
      </c>
      <c r="K921" s="254">
        <v>684</v>
      </c>
      <c r="L921" s="254">
        <v>-66</v>
      </c>
      <c r="M921" s="254">
        <v>-9.6491228070175428</v>
      </c>
    </row>
    <row r="922" spans="1:13" ht="25.05" customHeight="1" x14ac:dyDescent="0.3">
      <c r="A922" s="253" t="s">
        <v>1248</v>
      </c>
      <c r="B922" s="252" t="s">
        <v>1286</v>
      </c>
      <c r="C922" s="252" t="s">
        <v>1287</v>
      </c>
      <c r="D922" s="252" t="s">
        <v>43</v>
      </c>
      <c r="E922" s="252" t="s">
        <v>46</v>
      </c>
      <c r="F922" s="253" t="s">
        <v>21</v>
      </c>
      <c r="G922" s="253" t="s">
        <v>22</v>
      </c>
      <c r="H922" s="254">
        <v>402</v>
      </c>
      <c r="I922" s="254">
        <v>469</v>
      </c>
      <c r="J922" s="254">
        <v>402</v>
      </c>
      <c r="K922" s="254">
        <v>469</v>
      </c>
      <c r="L922" s="254">
        <v>-67</v>
      </c>
      <c r="M922" s="254">
        <v>-14.285714285714285</v>
      </c>
    </row>
    <row r="923" spans="1:13" ht="25.05" customHeight="1" x14ac:dyDescent="0.3">
      <c r="A923" s="253" t="s">
        <v>1248</v>
      </c>
      <c r="B923" s="252" t="s">
        <v>1288</v>
      </c>
      <c r="C923" s="252" t="s">
        <v>1289</v>
      </c>
      <c r="D923" s="252" t="s">
        <v>43</v>
      </c>
      <c r="E923" s="252" t="s">
        <v>46</v>
      </c>
      <c r="F923" s="253" t="s">
        <v>21</v>
      </c>
      <c r="G923" s="253" t="s">
        <v>22</v>
      </c>
      <c r="H923" s="254">
        <v>297</v>
      </c>
      <c r="I923" s="254">
        <v>303</v>
      </c>
      <c r="J923" s="254">
        <v>297</v>
      </c>
      <c r="K923" s="254">
        <v>303</v>
      </c>
      <c r="L923" s="254">
        <v>-6</v>
      </c>
      <c r="M923" s="254">
        <v>-1.9801980198019802</v>
      </c>
    </row>
    <row r="924" spans="1:13" ht="25.05" customHeight="1" x14ac:dyDescent="0.3">
      <c r="A924" s="253" t="s">
        <v>1248</v>
      </c>
      <c r="B924" s="252" t="s">
        <v>1290</v>
      </c>
      <c r="C924" s="252" t="s">
        <v>1291</v>
      </c>
      <c r="D924" s="252" t="s">
        <v>89</v>
      </c>
      <c r="E924" s="252" t="s">
        <v>46</v>
      </c>
      <c r="F924" s="253" t="s">
        <v>21</v>
      </c>
      <c r="G924" s="253" t="s">
        <v>22</v>
      </c>
      <c r="H924" s="254">
        <v>276</v>
      </c>
      <c r="I924" s="254">
        <v>336</v>
      </c>
      <c r="J924" s="254">
        <v>276</v>
      </c>
      <c r="K924" s="254">
        <v>336</v>
      </c>
      <c r="L924" s="254">
        <v>-60</v>
      </c>
      <c r="M924" s="254">
        <v>-17.857142857142858</v>
      </c>
    </row>
    <row r="925" spans="1:13" ht="25.05" customHeight="1" x14ac:dyDescent="0.3">
      <c r="A925" s="253" t="s">
        <v>1248</v>
      </c>
      <c r="B925" s="252" t="s">
        <v>1292</v>
      </c>
      <c r="C925" s="252" t="s">
        <v>1293</v>
      </c>
      <c r="D925" s="252" t="s">
        <v>89</v>
      </c>
      <c r="E925" s="252" t="s">
        <v>46</v>
      </c>
      <c r="F925" s="253" t="s">
        <v>21</v>
      </c>
      <c r="G925" s="253" t="s">
        <v>22</v>
      </c>
      <c r="H925" s="254">
        <v>270</v>
      </c>
      <c r="I925" s="254">
        <v>346</v>
      </c>
      <c r="J925" s="254">
        <v>270</v>
      </c>
      <c r="K925" s="254">
        <v>346</v>
      </c>
      <c r="L925" s="254">
        <v>-76</v>
      </c>
      <c r="M925" s="254">
        <v>-21.965317919075144</v>
      </c>
    </row>
    <row r="926" spans="1:13" ht="25.05" customHeight="1" x14ac:dyDescent="0.3">
      <c r="A926" s="253" t="s">
        <v>1248</v>
      </c>
      <c r="B926" s="252" t="s">
        <v>1294</v>
      </c>
      <c r="C926" s="252" t="s">
        <v>1295</v>
      </c>
      <c r="D926" s="252" t="s">
        <v>43</v>
      </c>
      <c r="E926" s="252" t="s">
        <v>40</v>
      </c>
      <c r="F926" s="253" t="s">
        <v>21</v>
      </c>
      <c r="G926" s="253" t="s">
        <v>22</v>
      </c>
      <c r="H926" s="254">
        <v>269</v>
      </c>
      <c r="I926" s="254">
        <v>183</v>
      </c>
      <c r="J926" s="254">
        <v>269</v>
      </c>
      <c r="K926" s="254">
        <v>183</v>
      </c>
      <c r="L926" s="254">
        <v>86</v>
      </c>
      <c r="M926" s="254">
        <v>46.994535519125684</v>
      </c>
    </row>
    <row r="927" spans="1:13" ht="25.05" customHeight="1" x14ac:dyDescent="0.3">
      <c r="A927" s="253" t="s">
        <v>1248</v>
      </c>
      <c r="B927" s="252" t="s">
        <v>1296</v>
      </c>
      <c r="C927" s="252" t="s">
        <v>1297</v>
      </c>
      <c r="D927" s="252" t="s">
        <v>481</v>
      </c>
      <c r="E927" s="252" t="s">
        <v>46</v>
      </c>
      <c r="F927" s="253" t="s">
        <v>21</v>
      </c>
      <c r="G927" s="253" t="s">
        <v>22</v>
      </c>
      <c r="H927" s="254">
        <v>260</v>
      </c>
      <c r="I927" s="254">
        <v>155</v>
      </c>
      <c r="J927" s="254">
        <v>260</v>
      </c>
      <c r="K927" s="254">
        <v>155</v>
      </c>
      <c r="L927" s="254">
        <v>105</v>
      </c>
      <c r="M927" s="254">
        <v>67.741935483870961</v>
      </c>
    </row>
    <row r="928" spans="1:13" ht="25.05" customHeight="1" x14ac:dyDescent="0.3">
      <c r="A928" s="253" t="s">
        <v>1248</v>
      </c>
      <c r="B928" s="252" t="s">
        <v>1298</v>
      </c>
      <c r="C928" s="252" t="s">
        <v>1299</v>
      </c>
      <c r="D928" s="252" t="s">
        <v>113</v>
      </c>
      <c r="E928" s="252" t="s">
        <v>46</v>
      </c>
      <c r="F928" s="253" t="s">
        <v>21</v>
      </c>
      <c r="G928" s="253" t="s">
        <v>22</v>
      </c>
      <c r="H928" s="254">
        <v>252</v>
      </c>
      <c r="I928" s="254">
        <v>253</v>
      </c>
      <c r="J928" s="254">
        <v>252</v>
      </c>
      <c r="K928" s="254">
        <v>253</v>
      </c>
      <c r="L928" s="254">
        <v>-1</v>
      </c>
      <c r="M928" s="254">
        <v>-0.39525691699604742</v>
      </c>
    </row>
    <row r="929" spans="1:13" ht="25.05" customHeight="1" x14ac:dyDescent="0.3">
      <c r="A929" s="253" t="s">
        <v>1248</v>
      </c>
      <c r="B929" s="252" t="s">
        <v>1300</v>
      </c>
      <c r="C929" s="252" t="s">
        <v>1301</v>
      </c>
      <c r="D929" s="252" t="s">
        <v>89</v>
      </c>
      <c r="E929" s="252" t="s">
        <v>46</v>
      </c>
      <c r="F929" s="253" t="s">
        <v>21</v>
      </c>
      <c r="G929" s="253" t="s">
        <v>22</v>
      </c>
      <c r="H929" s="254">
        <v>222</v>
      </c>
      <c r="I929" s="254">
        <v>251</v>
      </c>
      <c r="J929" s="254">
        <v>222</v>
      </c>
      <c r="K929" s="254">
        <v>251</v>
      </c>
      <c r="L929" s="254">
        <v>-29</v>
      </c>
      <c r="M929" s="254">
        <v>-11.553784860557768</v>
      </c>
    </row>
    <row r="930" spans="1:13" ht="25.05" customHeight="1" x14ac:dyDescent="0.3">
      <c r="A930" s="253" t="s">
        <v>1248</v>
      </c>
      <c r="B930" s="252" t="s">
        <v>1302</v>
      </c>
      <c r="C930" s="252" t="s">
        <v>1303</v>
      </c>
      <c r="D930" s="252" t="s">
        <v>89</v>
      </c>
      <c r="E930" s="252" t="s">
        <v>46</v>
      </c>
      <c r="F930" s="253" t="s">
        <v>21</v>
      </c>
      <c r="G930" s="253" t="s">
        <v>22</v>
      </c>
      <c r="H930" s="254">
        <v>212</v>
      </c>
      <c r="I930" s="254">
        <v>108</v>
      </c>
      <c r="J930" s="254">
        <v>212</v>
      </c>
      <c r="K930" s="254">
        <v>108</v>
      </c>
      <c r="L930" s="254">
        <v>104</v>
      </c>
      <c r="M930" s="254">
        <v>96.296296296296291</v>
      </c>
    </row>
    <row r="931" spans="1:13" ht="25.05" customHeight="1" x14ac:dyDescent="0.3">
      <c r="A931" s="253" t="s">
        <v>1248</v>
      </c>
      <c r="B931" s="252" t="s">
        <v>1304</v>
      </c>
      <c r="C931" s="252">
        <v>0</v>
      </c>
      <c r="D931" s="252">
        <v>0</v>
      </c>
      <c r="E931" s="252" t="s">
        <v>20</v>
      </c>
      <c r="F931" s="253" t="s">
        <v>21</v>
      </c>
      <c r="G931" s="253" t="s">
        <v>22</v>
      </c>
      <c r="H931" s="254">
        <v>926</v>
      </c>
      <c r="I931" s="254">
        <v>810</v>
      </c>
      <c r="J931" s="254">
        <v>926</v>
      </c>
      <c r="K931" s="254">
        <v>810</v>
      </c>
      <c r="L931" s="254">
        <v>116</v>
      </c>
      <c r="M931" s="254">
        <v>14.320987654320987</v>
      </c>
    </row>
    <row r="932" spans="1:13" ht="25.05" customHeight="1" x14ac:dyDescent="0.3">
      <c r="A932" s="253" t="s">
        <v>1248</v>
      </c>
      <c r="B932" s="252" t="s">
        <v>1305</v>
      </c>
      <c r="C932" s="252">
        <v>0</v>
      </c>
      <c r="D932" s="252">
        <v>0</v>
      </c>
      <c r="E932" s="252" t="s">
        <v>20</v>
      </c>
      <c r="F932" s="253" t="s">
        <v>21</v>
      </c>
      <c r="G932" s="253" t="s">
        <v>22</v>
      </c>
      <c r="H932" s="254">
        <v>1455</v>
      </c>
      <c r="I932" s="254">
        <v>1592</v>
      </c>
      <c r="J932" s="254">
        <v>1455</v>
      </c>
      <c r="K932" s="254">
        <v>1592</v>
      </c>
      <c r="L932" s="254">
        <v>-137</v>
      </c>
      <c r="M932" s="254">
        <v>-8.6055276381909547</v>
      </c>
    </row>
    <row r="933" spans="1:13" ht="25.05" customHeight="1" x14ac:dyDescent="0.3">
      <c r="A933" s="253" t="s">
        <v>1248</v>
      </c>
      <c r="B933" s="252" t="s">
        <v>1306</v>
      </c>
      <c r="C933" s="252">
        <v>0</v>
      </c>
      <c r="D933" s="252">
        <v>0</v>
      </c>
      <c r="E933" s="252" t="s">
        <v>20</v>
      </c>
      <c r="F933" s="253" t="s">
        <v>21</v>
      </c>
      <c r="G933" s="253" t="s">
        <v>22</v>
      </c>
      <c r="H933" s="254">
        <v>2502</v>
      </c>
      <c r="I933" s="254">
        <v>2281</v>
      </c>
      <c r="J933" s="254">
        <v>2502</v>
      </c>
      <c r="K933" s="254">
        <v>2281</v>
      </c>
      <c r="L933" s="254">
        <v>221</v>
      </c>
      <c r="M933" s="254">
        <v>9.6887330118369146</v>
      </c>
    </row>
    <row r="934" spans="1:13" ht="25.05" customHeight="1" x14ac:dyDescent="0.3">
      <c r="A934" s="253" t="s">
        <v>1248</v>
      </c>
      <c r="B934" s="252" t="s">
        <v>1307</v>
      </c>
      <c r="C934" s="252">
        <v>0</v>
      </c>
      <c r="D934" s="252">
        <v>0</v>
      </c>
      <c r="E934" s="252" t="s">
        <v>20</v>
      </c>
      <c r="F934" s="253" t="s">
        <v>21</v>
      </c>
      <c r="G934" s="253" t="s">
        <v>22</v>
      </c>
      <c r="H934" s="254">
        <v>7961</v>
      </c>
      <c r="I934" s="254">
        <v>7772</v>
      </c>
      <c r="J934" s="254">
        <v>7961</v>
      </c>
      <c r="K934" s="254">
        <v>7772</v>
      </c>
      <c r="L934" s="254">
        <v>189</v>
      </c>
      <c r="M934" s="254">
        <v>2.4318064848172929</v>
      </c>
    </row>
    <row r="935" spans="1:13" ht="25.05" customHeight="1" x14ac:dyDescent="0.3">
      <c r="A935" s="253" t="s">
        <v>1248</v>
      </c>
      <c r="B935" s="252" t="s">
        <v>1308</v>
      </c>
      <c r="C935" s="252" t="s">
        <v>1309</v>
      </c>
      <c r="D935" s="252" t="s">
        <v>239</v>
      </c>
      <c r="E935" s="252" t="s">
        <v>239</v>
      </c>
      <c r="F935" s="253" t="s">
        <v>21</v>
      </c>
      <c r="G935" s="253" t="s">
        <v>22</v>
      </c>
      <c r="H935" s="254">
        <v>5850</v>
      </c>
      <c r="I935" s="254">
        <v>5847</v>
      </c>
      <c r="J935" s="254">
        <v>5850</v>
      </c>
      <c r="K935" s="254">
        <v>5847</v>
      </c>
      <c r="L935" s="254">
        <v>3</v>
      </c>
      <c r="M935" s="254">
        <v>5.1308363263211899E-2</v>
      </c>
    </row>
    <row r="936" spans="1:13" ht="25.05" customHeight="1" x14ac:dyDescent="0.3">
      <c r="A936" s="253" t="s">
        <v>1248</v>
      </c>
      <c r="B936" s="252" t="s">
        <v>1310</v>
      </c>
      <c r="C936" s="252" t="s">
        <v>1311</v>
      </c>
      <c r="D936" s="252" t="s">
        <v>239</v>
      </c>
      <c r="E936" s="252" t="s">
        <v>239</v>
      </c>
      <c r="F936" s="253" t="s">
        <v>21</v>
      </c>
      <c r="G936" s="253" t="s">
        <v>22</v>
      </c>
      <c r="H936" s="254">
        <v>221</v>
      </c>
      <c r="I936" s="254">
        <v>230</v>
      </c>
      <c r="J936" s="254">
        <v>221</v>
      </c>
      <c r="K936" s="254">
        <v>230</v>
      </c>
      <c r="L936" s="254">
        <v>-9</v>
      </c>
      <c r="M936" s="254">
        <v>-3.9130434782608701</v>
      </c>
    </row>
    <row r="937" spans="1:13" ht="25.05" customHeight="1" x14ac:dyDescent="0.3">
      <c r="A937" s="253" t="s">
        <v>1248</v>
      </c>
      <c r="B937" s="252" t="s">
        <v>1312</v>
      </c>
      <c r="C937" s="252" t="s">
        <v>1313</v>
      </c>
      <c r="D937" s="252" t="s">
        <v>239</v>
      </c>
      <c r="E937" s="252" t="s">
        <v>239</v>
      </c>
      <c r="F937" s="253" t="s">
        <v>21</v>
      </c>
      <c r="G937" s="253" t="s">
        <v>22</v>
      </c>
      <c r="H937" s="254">
        <v>196</v>
      </c>
      <c r="I937" s="254">
        <v>220</v>
      </c>
      <c r="J937" s="254">
        <v>196</v>
      </c>
      <c r="K937" s="254">
        <v>220</v>
      </c>
      <c r="L937" s="254">
        <v>-24</v>
      </c>
      <c r="M937" s="254">
        <v>-10.909090909090908</v>
      </c>
    </row>
    <row r="938" spans="1:13" ht="25.05" customHeight="1" x14ac:dyDescent="0.3">
      <c r="A938" s="253" t="s">
        <v>1248</v>
      </c>
      <c r="B938" s="252" t="s">
        <v>1314</v>
      </c>
      <c r="C938" s="252" t="s">
        <v>1315</v>
      </c>
      <c r="D938" s="252" t="s">
        <v>239</v>
      </c>
      <c r="E938" s="252" t="s">
        <v>239</v>
      </c>
      <c r="F938" s="253" t="s">
        <v>21</v>
      </c>
      <c r="G938" s="253" t="s">
        <v>22</v>
      </c>
      <c r="H938" s="254">
        <v>154</v>
      </c>
      <c r="I938" s="254">
        <v>0</v>
      </c>
      <c r="J938" s="254">
        <v>154</v>
      </c>
      <c r="K938" s="254">
        <v>0</v>
      </c>
      <c r="L938" s="254">
        <v>154</v>
      </c>
      <c r="M938" s="254" t="s">
        <v>67</v>
      </c>
    </row>
    <row r="939" spans="1:13" ht="25.05" customHeight="1" x14ac:dyDescent="0.3">
      <c r="A939" s="253" t="s">
        <v>1248</v>
      </c>
      <c r="B939" s="252" t="s">
        <v>1316</v>
      </c>
      <c r="C939" s="252">
        <v>0</v>
      </c>
      <c r="D939" s="252" t="s">
        <v>239</v>
      </c>
      <c r="E939" s="252" t="s">
        <v>239</v>
      </c>
      <c r="F939" s="253" t="s">
        <v>21</v>
      </c>
      <c r="G939" s="253" t="s">
        <v>22</v>
      </c>
      <c r="H939" s="254">
        <v>154</v>
      </c>
      <c r="I939" s="254">
        <v>73</v>
      </c>
      <c r="J939" s="254">
        <v>154</v>
      </c>
      <c r="K939" s="254">
        <v>73</v>
      </c>
      <c r="L939" s="254">
        <v>81</v>
      </c>
      <c r="M939" s="254">
        <v>110.95890410958904</v>
      </c>
    </row>
    <row r="940" spans="1:13" ht="25.05" customHeight="1" x14ac:dyDescent="0.3">
      <c r="A940" s="253" t="s">
        <v>1248</v>
      </c>
      <c r="B940" s="252" t="s">
        <v>277</v>
      </c>
      <c r="C940" s="252">
        <v>0</v>
      </c>
      <c r="D940" s="252" t="s">
        <v>239</v>
      </c>
      <c r="E940" s="252" t="s">
        <v>239</v>
      </c>
      <c r="F940" s="253" t="s">
        <v>21</v>
      </c>
      <c r="G940" s="253" t="s">
        <v>22</v>
      </c>
      <c r="H940" s="254">
        <v>6575</v>
      </c>
      <c r="I940" s="254">
        <v>6504</v>
      </c>
      <c r="J940" s="254">
        <v>6575</v>
      </c>
      <c r="K940" s="254">
        <v>6504</v>
      </c>
      <c r="L940" s="254">
        <v>71</v>
      </c>
      <c r="M940" s="254">
        <v>1.0916359163591636</v>
      </c>
    </row>
    <row r="941" spans="1:13" ht="25.05" customHeight="1" x14ac:dyDescent="0.3">
      <c r="A941" s="253" t="s">
        <v>1248</v>
      </c>
      <c r="B941" s="252" t="s">
        <v>1317</v>
      </c>
      <c r="C941" s="252" t="s">
        <v>1318</v>
      </c>
      <c r="D941" s="252" t="s">
        <v>43</v>
      </c>
      <c r="E941" s="252" t="s">
        <v>46</v>
      </c>
      <c r="F941" s="253" t="s">
        <v>21</v>
      </c>
      <c r="G941" s="253" t="s">
        <v>22</v>
      </c>
      <c r="H941" s="254">
        <v>2437</v>
      </c>
      <c r="I941" s="254">
        <v>2242</v>
      </c>
      <c r="J941" s="254">
        <v>2437</v>
      </c>
      <c r="K941" s="254">
        <v>2242</v>
      </c>
      <c r="L941" s="254">
        <v>195</v>
      </c>
      <c r="M941" s="254">
        <v>8.6975914362176621</v>
      </c>
    </row>
    <row r="942" spans="1:13" ht="25.05" customHeight="1" x14ac:dyDescent="0.3">
      <c r="A942" s="253" t="s">
        <v>1248</v>
      </c>
      <c r="B942" s="252" t="s">
        <v>136</v>
      </c>
      <c r="C942" s="252" t="s">
        <v>137</v>
      </c>
      <c r="D942" s="252" t="s">
        <v>43</v>
      </c>
      <c r="E942" s="252" t="s">
        <v>40</v>
      </c>
      <c r="F942" s="253" t="s">
        <v>21</v>
      </c>
      <c r="G942" s="253" t="s">
        <v>22</v>
      </c>
      <c r="H942" s="254">
        <v>1350</v>
      </c>
      <c r="I942" s="254">
        <v>1699</v>
      </c>
      <c r="J942" s="254">
        <v>1350</v>
      </c>
      <c r="K942" s="254">
        <v>1699</v>
      </c>
      <c r="L942" s="254">
        <v>-349</v>
      </c>
      <c r="M942" s="254">
        <v>-20.541494997057093</v>
      </c>
    </row>
    <row r="943" spans="1:13" ht="25.05" customHeight="1" x14ac:dyDescent="0.3">
      <c r="A943" s="253" t="s">
        <v>1248</v>
      </c>
      <c r="B943" s="252" t="s">
        <v>1319</v>
      </c>
      <c r="C943" s="252" t="s">
        <v>1007</v>
      </c>
      <c r="D943" s="252" t="s">
        <v>43</v>
      </c>
      <c r="E943" s="252" t="s">
        <v>40</v>
      </c>
      <c r="F943" s="253" t="s">
        <v>21</v>
      </c>
      <c r="G943" s="253" t="s">
        <v>22</v>
      </c>
      <c r="H943" s="254">
        <v>659</v>
      </c>
      <c r="I943" s="254">
        <v>625</v>
      </c>
      <c r="J943" s="254">
        <v>659</v>
      </c>
      <c r="K943" s="254">
        <v>625</v>
      </c>
      <c r="L943" s="254">
        <v>34</v>
      </c>
      <c r="M943" s="254">
        <v>5.4399999999999995</v>
      </c>
    </row>
    <row r="944" spans="1:13" ht="25.05" customHeight="1" x14ac:dyDescent="0.3">
      <c r="A944" s="253" t="s">
        <v>1248</v>
      </c>
      <c r="B944" s="252" t="s">
        <v>1320</v>
      </c>
      <c r="C944" s="252">
        <v>0</v>
      </c>
      <c r="D944" s="252" t="s">
        <v>43</v>
      </c>
      <c r="E944" s="252" t="s">
        <v>20</v>
      </c>
      <c r="F944" s="253" t="s">
        <v>21</v>
      </c>
      <c r="G944" s="253" t="s">
        <v>22</v>
      </c>
      <c r="H944" s="254">
        <v>121</v>
      </c>
      <c r="I944" s="254">
        <v>29</v>
      </c>
      <c r="J944" s="254">
        <v>121</v>
      </c>
      <c r="K944" s="254">
        <v>29</v>
      </c>
      <c r="L944" s="254">
        <v>92</v>
      </c>
      <c r="M944" s="254">
        <v>317.24137931034483</v>
      </c>
    </row>
    <row r="945" spans="1:13" ht="25.05" customHeight="1" x14ac:dyDescent="0.3">
      <c r="A945" s="253" t="s">
        <v>1248</v>
      </c>
      <c r="B945" s="252" t="s">
        <v>1321</v>
      </c>
      <c r="C945" s="252">
        <v>0</v>
      </c>
      <c r="D945" s="252" t="s">
        <v>43</v>
      </c>
      <c r="E945" s="252" t="s">
        <v>20</v>
      </c>
      <c r="F945" s="253" t="s">
        <v>21</v>
      </c>
      <c r="G945" s="253" t="s">
        <v>22</v>
      </c>
      <c r="H945" s="254">
        <v>4567</v>
      </c>
      <c r="I945" s="254">
        <v>4733</v>
      </c>
      <c r="J945" s="254">
        <v>4567</v>
      </c>
      <c r="K945" s="254">
        <v>4733</v>
      </c>
      <c r="L945" s="254">
        <v>-166</v>
      </c>
      <c r="M945" s="254">
        <v>-3.5072892457215294</v>
      </c>
    </row>
    <row r="946" spans="1:13" ht="25.05" customHeight="1" x14ac:dyDescent="0.3">
      <c r="A946" s="253" t="s">
        <v>1248</v>
      </c>
      <c r="B946" s="252" t="s">
        <v>1322</v>
      </c>
      <c r="C946" s="252" t="s">
        <v>1323</v>
      </c>
      <c r="D946" s="252" t="s">
        <v>92</v>
      </c>
      <c r="E946" s="252" t="s">
        <v>46</v>
      </c>
      <c r="F946" s="253" t="s">
        <v>21</v>
      </c>
      <c r="G946" s="253" t="s">
        <v>22</v>
      </c>
      <c r="H946" s="254">
        <v>1288</v>
      </c>
      <c r="I946" s="254">
        <v>473</v>
      </c>
      <c r="J946" s="254">
        <v>1288</v>
      </c>
      <c r="K946" s="254">
        <v>473</v>
      </c>
      <c r="L946" s="254">
        <v>815</v>
      </c>
      <c r="M946" s="254">
        <v>172.3044397463002</v>
      </c>
    </row>
    <row r="947" spans="1:13" ht="25.05" customHeight="1" x14ac:dyDescent="0.3">
      <c r="A947" s="253" t="s">
        <v>1248</v>
      </c>
      <c r="B947" s="252" t="s">
        <v>1324</v>
      </c>
      <c r="C947" s="252" t="s">
        <v>1325</v>
      </c>
      <c r="D947" s="252" t="s">
        <v>92</v>
      </c>
      <c r="E947" s="252" t="s">
        <v>40</v>
      </c>
      <c r="F947" s="253" t="s">
        <v>21</v>
      </c>
      <c r="G947" s="253" t="s">
        <v>22</v>
      </c>
      <c r="H947" s="254">
        <v>454</v>
      </c>
      <c r="I947" s="254">
        <v>488</v>
      </c>
      <c r="J947" s="254">
        <v>454</v>
      </c>
      <c r="K947" s="254">
        <v>488</v>
      </c>
      <c r="L947" s="254">
        <v>-34</v>
      </c>
      <c r="M947" s="254">
        <v>-6.9672131147540979</v>
      </c>
    </row>
    <row r="948" spans="1:13" ht="25.05" customHeight="1" x14ac:dyDescent="0.3">
      <c r="A948" s="253" t="s">
        <v>1248</v>
      </c>
      <c r="B948" s="252" t="s">
        <v>1326</v>
      </c>
      <c r="C948" s="252" t="s">
        <v>1327</v>
      </c>
      <c r="D948" s="252" t="s">
        <v>92</v>
      </c>
      <c r="E948" s="252" t="s">
        <v>40</v>
      </c>
      <c r="F948" s="253" t="s">
        <v>21</v>
      </c>
      <c r="G948" s="253" t="s">
        <v>22</v>
      </c>
      <c r="H948" s="254">
        <v>427</v>
      </c>
      <c r="I948" s="254">
        <v>498</v>
      </c>
      <c r="J948" s="254">
        <v>427</v>
      </c>
      <c r="K948" s="254">
        <v>498</v>
      </c>
      <c r="L948" s="254">
        <v>-71</v>
      </c>
      <c r="M948" s="254">
        <v>-14.257028112449799</v>
      </c>
    </row>
    <row r="949" spans="1:13" ht="25.05" customHeight="1" x14ac:dyDescent="0.3">
      <c r="A949" s="253" t="s">
        <v>1248</v>
      </c>
      <c r="B949" s="252" t="s">
        <v>1328</v>
      </c>
      <c r="C949" s="252" t="s">
        <v>322</v>
      </c>
      <c r="D949" s="252" t="s">
        <v>92</v>
      </c>
      <c r="E949" s="252" t="s">
        <v>40</v>
      </c>
      <c r="F949" s="253" t="s">
        <v>21</v>
      </c>
      <c r="G949" s="253" t="s">
        <v>22</v>
      </c>
      <c r="H949" s="254">
        <v>370</v>
      </c>
      <c r="I949" s="254">
        <v>426</v>
      </c>
      <c r="J949" s="254">
        <v>370</v>
      </c>
      <c r="K949" s="254">
        <v>426</v>
      </c>
      <c r="L949" s="254">
        <v>-56</v>
      </c>
      <c r="M949" s="254">
        <v>-13.145539906103288</v>
      </c>
    </row>
    <row r="950" spans="1:13" ht="25.05" customHeight="1" x14ac:dyDescent="0.3">
      <c r="A950" s="253" t="s">
        <v>1248</v>
      </c>
      <c r="B950" s="252" t="s">
        <v>1329</v>
      </c>
      <c r="C950" s="252" t="s">
        <v>1330</v>
      </c>
      <c r="D950" s="252" t="s">
        <v>92</v>
      </c>
      <c r="E950" s="252" t="s">
        <v>40</v>
      </c>
      <c r="F950" s="253" t="s">
        <v>21</v>
      </c>
      <c r="G950" s="253" t="s">
        <v>22</v>
      </c>
      <c r="H950" s="254">
        <v>277</v>
      </c>
      <c r="I950" s="254">
        <v>264</v>
      </c>
      <c r="J950" s="254">
        <v>277</v>
      </c>
      <c r="K950" s="254">
        <v>264</v>
      </c>
      <c r="L950" s="254">
        <v>13</v>
      </c>
      <c r="M950" s="254">
        <v>4.9242424242424239</v>
      </c>
    </row>
    <row r="951" spans="1:13" ht="25.05" customHeight="1" x14ac:dyDescent="0.3">
      <c r="A951" s="253" t="s">
        <v>1248</v>
      </c>
      <c r="B951" s="252" t="s">
        <v>1331</v>
      </c>
      <c r="C951" s="252">
        <v>0</v>
      </c>
      <c r="D951" s="252" t="s">
        <v>92</v>
      </c>
      <c r="E951" s="252" t="s">
        <v>20</v>
      </c>
      <c r="F951" s="253" t="s">
        <v>21</v>
      </c>
      <c r="G951" s="253" t="s">
        <v>22</v>
      </c>
      <c r="H951" s="254">
        <v>120</v>
      </c>
      <c r="I951" s="254">
        <v>129</v>
      </c>
      <c r="J951" s="254">
        <v>120</v>
      </c>
      <c r="K951" s="254">
        <v>129</v>
      </c>
      <c r="L951" s="254">
        <v>-9</v>
      </c>
      <c r="M951" s="254">
        <v>-6.9767441860465116</v>
      </c>
    </row>
    <row r="952" spans="1:13" ht="25.05" customHeight="1" x14ac:dyDescent="0.3">
      <c r="A952" s="253" t="s">
        <v>1248</v>
      </c>
      <c r="B952" s="252" t="s">
        <v>1332</v>
      </c>
      <c r="C952" s="252">
        <v>0</v>
      </c>
      <c r="D952" s="252" t="s">
        <v>92</v>
      </c>
      <c r="E952" s="252" t="s">
        <v>20</v>
      </c>
      <c r="F952" s="253" t="s">
        <v>21</v>
      </c>
      <c r="G952" s="253" t="s">
        <v>22</v>
      </c>
      <c r="H952" s="254">
        <v>2936</v>
      </c>
      <c r="I952" s="254">
        <v>2278</v>
      </c>
      <c r="J952" s="254">
        <v>2936</v>
      </c>
      <c r="K952" s="254">
        <v>2278</v>
      </c>
      <c r="L952" s="254">
        <v>658</v>
      </c>
      <c r="M952" s="254">
        <v>28.884986830553117</v>
      </c>
    </row>
    <row r="953" spans="1:13" ht="25.05" customHeight="1" x14ac:dyDescent="0.3">
      <c r="A953" s="253" t="s">
        <v>1248</v>
      </c>
      <c r="B953" s="252" t="s">
        <v>1333</v>
      </c>
      <c r="C953" s="252">
        <v>0</v>
      </c>
      <c r="D953" s="252">
        <v>0</v>
      </c>
      <c r="E953" s="252" t="s">
        <v>20</v>
      </c>
      <c r="F953" s="253" t="s">
        <v>21</v>
      </c>
      <c r="G953" s="253" t="s">
        <v>22</v>
      </c>
      <c r="H953" s="254">
        <v>0</v>
      </c>
      <c r="I953" s="254">
        <v>2082</v>
      </c>
      <c r="J953" s="254">
        <v>0</v>
      </c>
      <c r="K953" s="254">
        <v>2082</v>
      </c>
      <c r="L953" s="254">
        <v>-2082</v>
      </c>
      <c r="M953" s="254">
        <v>-100</v>
      </c>
    </row>
    <row r="954" spans="1:13" ht="25.05" customHeight="1" x14ac:dyDescent="0.3">
      <c r="A954" s="253" t="s">
        <v>1248</v>
      </c>
      <c r="B954" s="252" t="s">
        <v>1334</v>
      </c>
      <c r="C954" s="252">
        <v>0</v>
      </c>
      <c r="D954" s="252">
        <v>0</v>
      </c>
      <c r="E954" s="252" t="s">
        <v>20</v>
      </c>
      <c r="F954" s="253" t="s">
        <v>21</v>
      </c>
      <c r="G954" s="253" t="s">
        <v>22</v>
      </c>
      <c r="H954" s="254">
        <v>5418</v>
      </c>
      <c r="I954" s="254">
        <v>4648</v>
      </c>
      <c r="J954" s="254">
        <v>5418</v>
      </c>
      <c r="K954" s="254">
        <v>4648</v>
      </c>
      <c r="L954" s="254">
        <v>770</v>
      </c>
      <c r="M954" s="254">
        <v>16.566265060240966</v>
      </c>
    </row>
    <row r="955" spans="1:13" ht="25.05" customHeight="1" x14ac:dyDescent="0.3">
      <c r="A955" s="253" t="s">
        <v>1248</v>
      </c>
      <c r="B955" s="252" t="s">
        <v>1335</v>
      </c>
      <c r="C955" s="252">
        <v>0</v>
      </c>
      <c r="D955" s="252">
        <v>0</v>
      </c>
      <c r="E955" s="252" t="s">
        <v>20</v>
      </c>
      <c r="F955" s="253" t="s">
        <v>21</v>
      </c>
      <c r="G955" s="253" t="s">
        <v>22</v>
      </c>
      <c r="H955" s="254">
        <v>1527</v>
      </c>
      <c r="I955" s="254">
        <v>911</v>
      </c>
      <c r="J955" s="254">
        <v>1527</v>
      </c>
      <c r="K955" s="254">
        <v>911</v>
      </c>
      <c r="L955" s="254">
        <v>616</v>
      </c>
      <c r="M955" s="254">
        <v>67.618002195389678</v>
      </c>
    </row>
    <row r="956" spans="1:13" ht="25.05" customHeight="1" x14ac:dyDescent="0.3">
      <c r="A956" s="253" t="s">
        <v>1248</v>
      </c>
      <c r="B956" s="252" t="s">
        <v>1336</v>
      </c>
      <c r="C956" s="252">
        <v>0</v>
      </c>
      <c r="D956" s="252">
        <v>0</v>
      </c>
      <c r="E956" s="252" t="s">
        <v>20</v>
      </c>
      <c r="F956" s="253" t="s">
        <v>21</v>
      </c>
      <c r="G956" s="253" t="s">
        <v>22</v>
      </c>
      <c r="H956" s="254">
        <v>5315</v>
      </c>
      <c r="I956" s="254">
        <v>5013</v>
      </c>
      <c r="J956" s="254">
        <v>5315</v>
      </c>
      <c r="K956" s="254">
        <v>5013</v>
      </c>
      <c r="L956" s="254">
        <v>302</v>
      </c>
      <c r="M956" s="254">
        <v>6.0243367245162576</v>
      </c>
    </row>
    <row r="957" spans="1:13" ht="25.05" customHeight="1" x14ac:dyDescent="0.3">
      <c r="A957" s="253" t="s">
        <v>1248</v>
      </c>
      <c r="B957" s="252" t="s">
        <v>1337</v>
      </c>
      <c r="C957" s="252">
        <v>0</v>
      </c>
      <c r="D957" s="252">
        <v>0</v>
      </c>
      <c r="E957" s="252" t="s">
        <v>20</v>
      </c>
      <c r="F957" s="253" t="s">
        <v>21</v>
      </c>
      <c r="G957" s="253" t="s">
        <v>22</v>
      </c>
      <c r="H957" s="254">
        <v>41908</v>
      </c>
      <c r="I957" s="254">
        <v>39090</v>
      </c>
      <c r="J957" s="254">
        <v>41908</v>
      </c>
      <c r="K957" s="254">
        <v>39090</v>
      </c>
      <c r="L957" s="254">
        <v>2818</v>
      </c>
      <c r="M957" s="254">
        <v>7.2090048605781529</v>
      </c>
    </row>
    <row r="958" spans="1:13" ht="25.05" customHeight="1" x14ac:dyDescent="0.3">
      <c r="A958" s="267" t="s">
        <v>1248</v>
      </c>
      <c r="B958" s="268" t="s">
        <v>101</v>
      </c>
      <c r="C958" s="268">
        <v>0</v>
      </c>
      <c r="D958" s="268">
        <v>0</v>
      </c>
      <c r="E958" s="268" t="s">
        <v>20</v>
      </c>
      <c r="F958" s="267" t="s">
        <v>21</v>
      </c>
      <c r="G958" s="267" t="s">
        <v>22</v>
      </c>
      <c r="H958" s="269">
        <v>41908</v>
      </c>
      <c r="I958" s="269">
        <v>41172</v>
      </c>
      <c r="J958" s="269">
        <v>41908</v>
      </c>
      <c r="K958" s="269">
        <v>41172</v>
      </c>
      <c r="L958" s="269">
        <v>736</v>
      </c>
      <c r="M958" s="269">
        <v>1.7876226561740989</v>
      </c>
    </row>
    <row r="959" spans="1:13" ht="25.05" customHeight="1" x14ac:dyDescent="0.3">
      <c r="A959" s="253" t="s">
        <v>1338</v>
      </c>
      <c r="B959" s="252" t="s">
        <v>317</v>
      </c>
      <c r="C959" s="252" t="s">
        <v>318</v>
      </c>
      <c r="D959" s="252" t="s">
        <v>72</v>
      </c>
      <c r="E959" s="252" t="s">
        <v>40</v>
      </c>
      <c r="F959" s="253" t="s">
        <v>21</v>
      </c>
      <c r="G959" s="253" t="s">
        <v>22</v>
      </c>
      <c r="H959" s="254">
        <v>4947.2</v>
      </c>
      <c r="I959" s="254">
        <v>4644.2</v>
      </c>
      <c r="J959" s="254">
        <v>4947.2</v>
      </c>
      <c r="K959" s="254">
        <v>4644.2</v>
      </c>
      <c r="L959" s="254">
        <v>303</v>
      </c>
      <c r="M959" s="254">
        <v>6.5242668274406794</v>
      </c>
    </row>
    <row r="960" spans="1:13" ht="25.05" customHeight="1" x14ac:dyDescent="0.3">
      <c r="A960" s="253" t="s">
        <v>1338</v>
      </c>
      <c r="B960" s="252" t="s">
        <v>1339</v>
      </c>
      <c r="C960" s="252" t="s">
        <v>1340</v>
      </c>
      <c r="D960" s="252" t="s">
        <v>56</v>
      </c>
      <c r="E960" s="252" t="s">
        <v>40</v>
      </c>
      <c r="F960" s="253" t="s">
        <v>21</v>
      </c>
      <c r="G960" s="253" t="s">
        <v>22</v>
      </c>
      <c r="H960" s="254">
        <v>3226.2</v>
      </c>
      <c r="I960" s="254">
        <v>1871.2</v>
      </c>
      <c r="J960" s="254">
        <v>3226.2</v>
      </c>
      <c r="K960" s="254">
        <v>1871.2</v>
      </c>
      <c r="L960" s="254">
        <v>1354.9999999999998</v>
      </c>
      <c r="M960" s="254">
        <v>72.413424540401877</v>
      </c>
    </row>
    <row r="961" spans="1:13" ht="25.05" customHeight="1" x14ac:dyDescent="0.3">
      <c r="A961" s="253" t="s">
        <v>1338</v>
      </c>
      <c r="B961" s="252" t="s">
        <v>1341</v>
      </c>
      <c r="C961" s="252" t="s">
        <v>1342</v>
      </c>
      <c r="D961" s="252" t="s">
        <v>49</v>
      </c>
      <c r="E961" s="252" t="s">
        <v>40</v>
      </c>
      <c r="F961" s="253" t="s">
        <v>21</v>
      </c>
      <c r="G961" s="253" t="s">
        <v>22</v>
      </c>
      <c r="H961" s="254">
        <v>270.7</v>
      </c>
      <c r="I961" s="254">
        <v>175.7</v>
      </c>
      <c r="J961" s="254">
        <v>270.7</v>
      </c>
      <c r="K961" s="254">
        <v>175.7</v>
      </c>
      <c r="L961" s="254">
        <v>95</v>
      </c>
      <c r="M961" s="254">
        <v>54.069436539556058</v>
      </c>
    </row>
    <row r="962" spans="1:13" ht="25.05" customHeight="1" x14ac:dyDescent="0.3">
      <c r="A962" s="253" t="s">
        <v>1338</v>
      </c>
      <c r="B962" s="252" t="s">
        <v>1343</v>
      </c>
      <c r="C962" s="252" t="s">
        <v>1344</v>
      </c>
      <c r="D962" s="252" t="s">
        <v>1345</v>
      </c>
      <c r="E962" s="252" t="s">
        <v>40</v>
      </c>
      <c r="F962" s="253" t="s">
        <v>21</v>
      </c>
      <c r="G962" s="253" t="s">
        <v>22</v>
      </c>
      <c r="H962" s="254">
        <v>186</v>
      </c>
      <c r="I962" s="254">
        <v>126</v>
      </c>
      <c r="J962" s="254">
        <v>186</v>
      </c>
      <c r="K962" s="254">
        <v>126</v>
      </c>
      <c r="L962" s="254">
        <v>60</v>
      </c>
      <c r="M962" s="254">
        <v>47.619047619047613</v>
      </c>
    </row>
    <row r="963" spans="1:13" ht="25.05" customHeight="1" x14ac:dyDescent="0.3">
      <c r="A963" s="253" t="s">
        <v>1338</v>
      </c>
      <c r="B963" s="252" t="s">
        <v>1346</v>
      </c>
      <c r="C963" s="252" t="s">
        <v>1347</v>
      </c>
      <c r="D963" s="252" t="s">
        <v>1348</v>
      </c>
      <c r="E963" s="252" t="s">
        <v>40</v>
      </c>
      <c r="F963" s="253" t="s">
        <v>21</v>
      </c>
      <c r="G963" s="253" t="s">
        <v>22</v>
      </c>
      <c r="H963" s="254">
        <v>141.6</v>
      </c>
      <c r="I963" s="254">
        <v>129</v>
      </c>
      <c r="J963" s="254">
        <v>141.6</v>
      </c>
      <c r="K963" s="254">
        <v>129</v>
      </c>
      <c r="L963" s="254">
        <v>12.599999999999994</v>
      </c>
      <c r="M963" s="254">
        <v>9.7674418604651123</v>
      </c>
    </row>
    <row r="964" spans="1:13" ht="25.05" customHeight="1" x14ac:dyDescent="0.3">
      <c r="A964" s="253" t="s">
        <v>1338</v>
      </c>
      <c r="B964" s="252" t="s">
        <v>1349</v>
      </c>
      <c r="C964" s="252" t="s">
        <v>1350</v>
      </c>
      <c r="D964" s="252" t="s">
        <v>1348</v>
      </c>
      <c r="E964" s="252" t="s">
        <v>239</v>
      </c>
      <c r="F964" s="253" t="s">
        <v>21</v>
      </c>
      <c r="G964" s="253" t="s">
        <v>22</v>
      </c>
      <c r="H964" s="254">
        <v>185.7</v>
      </c>
      <c r="I964" s="254">
        <v>0</v>
      </c>
      <c r="J964" s="254">
        <v>185.7</v>
      </c>
      <c r="K964" s="254">
        <v>0</v>
      </c>
      <c r="L964" s="254">
        <v>185.7</v>
      </c>
      <c r="M964" s="254" t="s">
        <v>67</v>
      </c>
    </row>
    <row r="965" spans="1:13" ht="25.05" customHeight="1" x14ac:dyDescent="0.3">
      <c r="A965" s="253" t="s">
        <v>1338</v>
      </c>
      <c r="B965" s="252" t="s">
        <v>1351</v>
      </c>
      <c r="C965" s="252" t="s">
        <v>318</v>
      </c>
      <c r="D965" s="252" t="s">
        <v>49</v>
      </c>
      <c r="E965" s="252" t="s">
        <v>40</v>
      </c>
      <c r="F965" s="253" t="s">
        <v>21</v>
      </c>
      <c r="G965" s="253" t="s">
        <v>22</v>
      </c>
      <c r="H965" s="254">
        <v>5.8</v>
      </c>
      <c r="I965" s="254">
        <v>7.3</v>
      </c>
      <c r="J965" s="254">
        <v>5.8</v>
      </c>
      <c r="K965" s="254">
        <v>7.3</v>
      </c>
      <c r="L965" s="254">
        <v>-1.5</v>
      </c>
      <c r="M965" s="254">
        <v>-20.547945205479454</v>
      </c>
    </row>
    <row r="966" spans="1:13" ht="25.05" customHeight="1" x14ac:dyDescent="0.3">
      <c r="A966" s="253" t="s">
        <v>1338</v>
      </c>
      <c r="B966" s="252" t="s">
        <v>1352</v>
      </c>
      <c r="C966" s="252" t="s">
        <v>1353</v>
      </c>
      <c r="D966" s="252" t="s">
        <v>43</v>
      </c>
      <c r="E966" s="252" t="s">
        <v>40</v>
      </c>
      <c r="F966" s="253" t="s">
        <v>21</v>
      </c>
      <c r="G966" s="253" t="s">
        <v>22</v>
      </c>
      <c r="H966" s="254">
        <v>13.1</v>
      </c>
      <c r="I966" s="254">
        <v>14.5</v>
      </c>
      <c r="J966" s="254">
        <v>13.1</v>
      </c>
      <c r="K966" s="254">
        <v>14.5</v>
      </c>
      <c r="L966" s="254">
        <v>-1.4000000000000004</v>
      </c>
      <c r="M966" s="254">
        <v>-9.6551724137931068</v>
      </c>
    </row>
    <row r="967" spans="1:13" ht="25.05" customHeight="1" x14ac:dyDescent="0.3">
      <c r="A967" s="253" t="s">
        <v>1338</v>
      </c>
      <c r="B967" s="252" t="s">
        <v>1354</v>
      </c>
      <c r="C967" s="252">
        <v>0</v>
      </c>
      <c r="D967" s="252">
        <v>0</v>
      </c>
      <c r="E967" s="252" t="s">
        <v>20</v>
      </c>
      <c r="F967" s="253" t="s">
        <v>21</v>
      </c>
      <c r="G967" s="253" t="s">
        <v>22</v>
      </c>
      <c r="H967" s="254">
        <v>5567.6</v>
      </c>
      <c r="I967" s="254">
        <v>4834.3999999999996</v>
      </c>
      <c r="J967" s="254">
        <v>5567.6</v>
      </c>
      <c r="K967" s="254">
        <v>4834.3999999999996</v>
      </c>
      <c r="L967" s="254">
        <v>733.20000000000073</v>
      </c>
      <c r="M967" s="254">
        <v>15.166308125103441</v>
      </c>
    </row>
    <row r="968" spans="1:13" ht="25.05" customHeight="1" x14ac:dyDescent="0.3">
      <c r="A968" s="253" t="s">
        <v>1338</v>
      </c>
      <c r="B968" s="252" t="s">
        <v>1355</v>
      </c>
      <c r="C968" s="252">
        <v>0</v>
      </c>
      <c r="D968" s="252">
        <v>0</v>
      </c>
      <c r="E968" s="252" t="s">
        <v>20</v>
      </c>
      <c r="F968" s="253" t="s">
        <v>21</v>
      </c>
      <c r="G968" s="253" t="s">
        <v>22</v>
      </c>
      <c r="H968" s="254">
        <v>1186.4000000000001</v>
      </c>
      <c r="I968" s="254">
        <v>403.6</v>
      </c>
      <c r="J968" s="254">
        <v>1186.4000000000001</v>
      </c>
      <c r="K968" s="254">
        <v>403.6</v>
      </c>
      <c r="L968" s="254">
        <v>782.80000000000007</v>
      </c>
      <c r="M968" s="254">
        <v>193.95441030723489</v>
      </c>
    </row>
    <row r="969" spans="1:13" ht="25.05" customHeight="1" x14ac:dyDescent="0.3">
      <c r="A969" s="253" t="s">
        <v>1338</v>
      </c>
      <c r="B969" s="252" t="s">
        <v>1356</v>
      </c>
      <c r="C969" s="252">
        <v>0</v>
      </c>
      <c r="D969" s="252">
        <v>0</v>
      </c>
      <c r="E969" s="252" t="s">
        <v>20</v>
      </c>
      <c r="F969" s="253" t="s">
        <v>21</v>
      </c>
      <c r="G969" s="253" t="s">
        <v>22</v>
      </c>
      <c r="H969" s="254">
        <v>1186.0999999999999</v>
      </c>
      <c r="I969" s="254">
        <v>1145.5999999999999</v>
      </c>
      <c r="J969" s="254">
        <v>1186.0999999999999</v>
      </c>
      <c r="K969" s="254">
        <v>1145.5999999999999</v>
      </c>
      <c r="L969" s="254">
        <v>40.5</v>
      </c>
      <c r="M969" s="254">
        <v>3.5352653631284916</v>
      </c>
    </row>
    <row r="970" spans="1:13" ht="25.05" customHeight="1" x14ac:dyDescent="0.3">
      <c r="A970" s="253" t="s">
        <v>1338</v>
      </c>
      <c r="B970" s="252" t="s">
        <v>121</v>
      </c>
      <c r="C970" s="252">
        <v>0</v>
      </c>
      <c r="D970" s="252">
        <v>0</v>
      </c>
      <c r="E970" s="252" t="s">
        <v>20</v>
      </c>
      <c r="F970" s="253" t="s">
        <v>21</v>
      </c>
      <c r="G970" s="253" t="s">
        <v>22</v>
      </c>
      <c r="H970" s="254">
        <v>557</v>
      </c>
      <c r="I970" s="254">
        <v>174</v>
      </c>
      <c r="J970" s="254">
        <v>557</v>
      </c>
      <c r="K970" s="254">
        <v>174</v>
      </c>
      <c r="L970" s="254">
        <v>383</v>
      </c>
      <c r="M970" s="254">
        <v>220.11494252873564</v>
      </c>
    </row>
    <row r="971" spans="1:13" ht="25.05" customHeight="1" x14ac:dyDescent="0.3">
      <c r="A971" s="267" t="s">
        <v>1338</v>
      </c>
      <c r="B971" s="268" t="s">
        <v>248</v>
      </c>
      <c r="C971" s="268">
        <v>0</v>
      </c>
      <c r="D971" s="268">
        <v>0</v>
      </c>
      <c r="E971" s="268" t="s">
        <v>20</v>
      </c>
      <c r="F971" s="267" t="s">
        <v>21</v>
      </c>
      <c r="G971" s="267" t="s">
        <v>22</v>
      </c>
      <c r="H971" s="269">
        <v>8497.1</v>
      </c>
      <c r="I971" s="269">
        <v>6557.6</v>
      </c>
      <c r="J971" s="269">
        <v>8497.1</v>
      </c>
      <c r="K971" s="269">
        <v>6557.6</v>
      </c>
      <c r="L971" s="269">
        <v>1939.5</v>
      </c>
      <c r="M971" s="269">
        <v>29.576369403440282</v>
      </c>
    </row>
    <row r="972" spans="1:13" ht="25.05" customHeight="1" x14ac:dyDescent="0.3">
      <c r="A972" s="253" t="s">
        <v>1357</v>
      </c>
      <c r="B972" s="252" t="s">
        <v>1795</v>
      </c>
      <c r="C972" s="252" t="s">
        <v>1796</v>
      </c>
      <c r="D972" s="252" t="s">
        <v>49</v>
      </c>
      <c r="E972" s="252" t="s">
        <v>40</v>
      </c>
      <c r="F972" s="253" t="s">
        <v>1358</v>
      </c>
      <c r="G972" s="253" t="s">
        <v>22</v>
      </c>
      <c r="H972" s="254">
        <v>4992</v>
      </c>
      <c r="I972" s="254">
        <v>7073</v>
      </c>
      <c r="J972" s="254">
        <v>5561.9915520000004</v>
      </c>
      <c r="K972" s="254">
        <v>7880.602213000001</v>
      </c>
      <c r="L972" s="254">
        <v>-2318.6106610000006</v>
      </c>
      <c r="M972" s="254">
        <v>-29.421744662802208</v>
      </c>
    </row>
    <row r="973" spans="1:13" ht="25.05" customHeight="1" x14ac:dyDescent="0.3">
      <c r="A973" s="253" t="s">
        <v>1357</v>
      </c>
      <c r="B973" s="252" t="s">
        <v>1359</v>
      </c>
      <c r="C973" s="252" t="s">
        <v>1360</v>
      </c>
      <c r="D973" s="252" t="s">
        <v>49</v>
      </c>
      <c r="E973" s="252" t="s">
        <v>40</v>
      </c>
      <c r="F973" s="253" t="s">
        <v>1358</v>
      </c>
      <c r="G973" s="253" t="s">
        <v>22</v>
      </c>
      <c r="H973" s="254">
        <v>3883</v>
      </c>
      <c r="I973" s="254">
        <v>3522</v>
      </c>
      <c r="J973" s="254">
        <v>4326.3648229999999</v>
      </c>
      <c r="K973" s="254">
        <v>3924.1454820000004</v>
      </c>
      <c r="L973" s="254">
        <v>402.21934099999953</v>
      </c>
      <c r="M973" s="254">
        <v>10.249858035207255</v>
      </c>
    </row>
    <row r="974" spans="1:13" ht="25.05" customHeight="1" x14ac:dyDescent="0.3">
      <c r="A974" s="253" t="s">
        <v>1357</v>
      </c>
      <c r="B974" s="252" t="s">
        <v>1361</v>
      </c>
      <c r="C974" s="252" t="s">
        <v>153</v>
      </c>
      <c r="D974" s="252" t="s">
        <v>49</v>
      </c>
      <c r="E974" s="252" t="s">
        <v>40</v>
      </c>
      <c r="F974" s="253" t="s">
        <v>1358</v>
      </c>
      <c r="G974" s="253" t="s">
        <v>22</v>
      </c>
      <c r="H974" s="254">
        <v>3732</v>
      </c>
      <c r="I974" s="254">
        <v>6039</v>
      </c>
      <c r="J974" s="254">
        <v>4158.1234920000006</v>
      </c>
      <c r="K974" s="254">
        <v>6728.5390590000006</v>
      </c>
      <c r="L974" s="254">
        <v>-2570.415567</v>
      </c>
      <c r="M974" s="254">
        <v>-38.201689021361155</v>
      </c>
    </row>
    <row r="975" spans="1:13" ht="25.05" customHeight="1" x14ac:dyDescent="0.3">
      <c r="A975" s="253" t="s">
        <v>1357</v>
      </c>
      <c r="B975" s="252" t="s">
        <v>1362</v>
      </c>
      <c r="C975" s="252" t="s">
        <v>376</v>
      </c>
      <c r="D975" s="252" t="s">
        <v>49</v>
      </c>
      <c r="E975" s="252" t="s">
        <v>40</v>
      </c>
      <c r="F975" s="253" t="s">
        <v>1358</v>
      </c>
      <c r="G975" s="253" t="s">
        <v>22</v>
      </c>
      <c r="H975" s="254">
        <v>3206</v>
      </c>
      <c r="I975" s="254">
        <v>4890</v>
      </c>
      <c r="J975" s="254">
        <v>3572.0642860000003</v>
      </c>
      <c r="K975" s="254">
        <v>5448.3450900000007</v>
      </c>
      <c r="L975" s="254">
        <v>-1876.2808040000004</v>
      </c>
      <c r="M975" s="254">
        <v>-34.437627811860942</v>
      </c>
    </row>
    <row r="976" spans="1:13" ht="25.05" customHeight="1" x14ac:dyDescent="0.3">
      <c r="A976" s="253" t="s">
        <v>1357</v>
      </c>
      <c r="B976" s="252" t="s">
        <v>1363</v>
      </c>
      <c r="C976" s="252" t="s">
        <v>1364</v>
      </c>
      <c r="D976" s="252" t="s">
        <v>49</v>
      </c>
      <c r="E976" s="252" t="s">
        <v>40</v>
      </c>
      <c r="F976" s="253" t="s">
        <v>1358</v>
      </c>
      <c r="G976" s="253" t="s">
        <v>22</v>
      </c>
      <c r="H976" s="254">
        <v>2738</v>
      </c>
      <c r="I976" s="254">
        <v>1875</v>
      </c>
      <c r="J976" s="254">
        <v>3050.6275780000001</v>
      </c>
      <c r="K976" s="254">
        <v>2089.089375</v>
      </c>
      <c r="L976" s="254">
        <v>961.53820300000007</v>
      </c>
      <c r="M976" s="254">
        <v>46.026666666666671</v>
      </c>
    </row>
    <row r="977" spans="1:13" ht="25.05" customHeight="1" x14ac:dyDescent="0.3">
      <c r="A977" s="253" t="s">
        <v>1357</v>
      </c>
      <c r="B977" s="252" t="s">
        <v>1365</v>
      </c>
      <c r="C977" s="252" t="s">
        <v>1366</v>
      </c>
      <c r="D977" s="252" t="s">
        <v>49</v>
      </c>
      <c r="E977" s="252" t="s">
        <v>40</v>
      </c>
      <c r="F977" s="253" t="s">
        <v>1358</v>
      </c>
      <c r="G977" s="253" t="s">
        <v>22</v>
      </c>
      <c r="H977" s="254">
        <v>1745</v>
      </c>
      <c r="I977" s="254">
        <v>1393</v>
      </c>
      <c r="J977" s="254">
        <v>1944.2458450000001</v>
      </c>
      <c r="K977" s="254">
        <v>1552.0541330000001</v>
      </c>
      <c r="L977" s="254">
        <v>392.19171200000005</v>
      </c>
      <c r="M977" s="254">
        <v>25.269203158650395</v>
      </c>
    </row>
    <row r="978" spans="1:13" ht="25.05" customHeight="1" x14ac:dyDescent="0.3">
      <c r="A978" s="253" t="s">
        <v>1357</v>
      </c>
      <c r="B978" s="252" t="s">
        <v>1367</v>
      </c>
      <c r="C978" s="252" t="s">
        <v>1368</v>
      </c>
      <c r="D978" s="252" t="s">
        <v>49</v>
      </c>
      <c r="E978" s="252" t="s">
        <v>46</v>
      </c>
      <c r="F978" s="253" t="s">
        <v>1358</v>
      </c>
      <c r="G978" s="253" t="s">
        <v>22</v>
      </c>
      <c r="H978" s="254">
        <v>1160</v>
      </c>
      <c r="I978" s="254">
        <v>876</v>
      </c>
      <c r="J978" s="254">
        <v>1292.4499600000001</v>
      </c>
      <c r="K978" s="254">
        <v>976.02255600000012</v>
      </c>
      <c r="L978" s="254">
        <v>316.42740400000002</v>
      </c>
      <c r="M978" s="254">
        <v>32.420091324200911</v>
      </c>
    </row>
    <row r="979" spans="1:13" ht="25.05" customHeight="1" x14ac:dyDescent="0.3">
      <c r="A979" s="253" t="s">
        <v>1357</v>
      </c>
      <c r="B979" s="252" t="s">
        <v>1369</v>
      </c>
      <c r="C979" s="252" t="s">
        <v>1370</v>
      </c>
      <c r="D979" s="252" t="s">
        <v>49</v>
      </c>
      <c r="E979" s="252" t="s">
        <v>40</v>
      </c>
      <c r="F979" s="253" t="s">
        <v>1358</v>
      </c>
      <c r="G979" s="253" t="s">
        <v>22</v>
      </c>
      <c r="H979" s="254">
        <v>632</v>
      </c>
      <c r="I979" s="254">
        <v>552</v>
      </c>
      <c r="J979" s="254">
        <v>704.16239200000007</v>
      </c>
      <c r="K979" s="254">
        <v>615.02791200000001</v>
      </c>
      <c r="L979" s="254">
        <v>89.134480000000053</v>
      </c>
      <c r="M979" s="254">
        <v>14.492753623188415</v>
      </c>
    </row>
    <row r="980" spans="1:13" ht="25.05" customHeight="1" x14ac:dyDescent="0.3">
      <c r="A980" s="253" t="s">
        <v>1357</v>
      </c>
      <c r="B980" s="252" t="s">
        <v>1371</v>
      </c>
      <c r="C980" s="252" t="s">
        <v>1372</v>
      </c>
      <c r="D980" s="252" t="s">
        <v>49</v>
      </c>
      <c r="E980" s="252" t="s">
        <v>46</v>
      </c>
      <c r="F980" s="253" t="s">
        <v>1358</v>
      </c>
      <c r="G980" s="253" t="s">
        <v>22</v>
      </c>
      <c r="H980" s="254">
        <v>301</v>
      </c>
      <c r="I980" s="254">
        <v>406</v>
      </c>
      <c r="J980" s="254">
        <v>335.36848100000003</v>
      </c>
      <c r="K980" s="254">
        <v>452.35748600000005</v>
      </c>
      <c r="L980" s="254">
        <v>-116.98900500000002</v>
      </c>
      <c r="M980" s="254">
        <v>-25.862068965517242</v>
      </c>
    </row>
    <row r="981" spans="1:13" ht="25.05" customHeight="1" x14ac:dyDescent="0.3">
      <c r="A981" s="253" t="s">
        <v>1357</v>
      </c>
      <c r="B981" s="252" t="s">
        <v>1373</v>
      </c>
      <c r="C981" s="252" t="s">
        <v>1374</v>
      </c>
      <c r="D981" s="252" t="s">
        <v>49</v>
      </c>
      <c r="E981" s="252" t="s">
        <v>40</v>
      </c>
      <c r="F981" s="253" t="s">
        <v>1358</v>
      </c>
      <c r="G981" s="253" t="s">
        <v>22</v>
      </c>
      <c r="H981" s="254">
        <v>169</v>
      </c>
      <c r="I981" s="254">
        <v>51</v>
      </c>
      <c r="J981" s="254">
        <v>188.29658900000001</v>
      </c>
      <c r="K981" s="254">
        <v>56.823231000000007</v>
      </c>
      <c r="L981" s="254">
        <v>131.47335800000002</v>
      </c>
      <c r="M981" s="254">
        <v>231.37254901960787</v>
      </c>
    </row>
    <row r="982" spans="1:13" ht="25.05" customHeight="1" x14ac:dyDescent="0.3">
      <c r="A982" s="253" t="s">
        <v>1357</v>
      </c>
      <c r="B982" s="252" t="s">
        <v>295</v>
      </c>
      <c r="C982" s="252" t="s">
        <v>296</v>
      </c>
      <c r="D982" s="252" t="s">
        <v>49</v>
      </c>
      <c r="E982" s="252" t="s">
        <v>46</v>
      </c>
      <c r="F982" s="253" t="s">
        <v>1358</v>
      </c>
      <c r="G982" s="253" t="s">
        <v>22</v>
      </c>
      <c r="H982" s="254">
        <v>160</v>
      </c>
      <c r="I982" s="254">
        <v>298</v>
      </c>
      <c r="J982" s="254">
        <v>178.26896000000002</v>
      </c>
      <c r="K982" s="254">
        <v>332.02593800000005</v>
      </c>
      <c r="L982" s="254">
        <v>-153.75697800000003</v>
      </c>
      <c r="M982" s="254">
        <v>-46.308724832214764</v>
      </c>
    </row>
    <row r="983" spans="1:13" ht="25.05" customHeight="1" x14ac:dyDescent="0.3">
      <c r="A983" s="253" t="s">
        <v>1357</v>
      </c>
      <c r="B983" s="252" t="s">
        <v>23</v>
      </c>
      <c r="C983" s="252">
        <v>0</v>
      </c>
      <c r="D983" s="252" t="s">
        <v>49</v>
      </c>
      <c r="E983" s="252" t="s">
        <v>20</v>
      </c>
      <c r="F983" s="253" t="s">
        <v>1358</v>
      </c>
      <c r="G983" s="253" t="s">
        <v>22</v>
      </c>
      <c r="H983" s="254">
        <v>605</v>
      </c>
      <c r="I983" s="254">
        <v>596</v>
      </c>
      <c r="J983" s="254">
        <v>674.07950500000004</v>
      </c>
      <c r="K983" s="254">
        <v>664.05187600000011</v>
      </c>
      <c r="L983" s="254">
        <v>10.027628999999934</v>
      </c>
      <c r="M983" s="254">
        <v>1.5100671140939494</v>
      </c>
    </row>
    <row r="984" spans="1:13" ht="25.05" customHeight="1" x14ac:dyDescent="0.3">
      <c r="A984" s="253" t="s">
        <v>1357</v>
      </c>
      <c r="B984" s="252" t="s">
        <v>198</v>
      </c>
      <c r="C984" s="252">
        <v>0</v>
      </c>
      <c r="D984" s="252" t="s">
        <v>49</v>
      </c>
      <c r="E984" s="252" t="s">
        <v>20</v>
      </c>
      <c r="F984" s="253" t="s">
        <v>1358</v>
      </c>
      <c r="G984" s="253" t="s">
        <v>22</v>
      </c>
      <c r="H984" s="254">
        <v>23323</v>
      </c>
      <c r="I984" s="254">
        <v>27571</v>
      </c>
      <c r="J984" s="254">
        <v>25986.043463000002</v>
      </c>
      <c r="K984" s="254">
        <v>30719.084351000001</v>
      </c>
      <c r="L984" s="254">
        <v>-4733.0408879999995</v>
      </c>
      <c r="M984" s="254">
        <v>-15.407493380726123</v>
      </c>
    </row>
    <row r="985" spans="1:13" ht="25.05" customHeight="1" x14ac:dyDescent="0.3">
      <c r="A985" s="253" t="s">
        <v>1357</v>
      </c>
      <c r="B985" s="252" t="s">
        <v>1375</v>
      </c>
      <c r="C985" s="252" t="s">
        <v>1376</v>
      </c>
      <c r="D985" s="252" t="s">
        <v>43</v>
      </c>
      <c r="E985" s="252" t="s">
        <v>40</v>
      </c>
      <c r="F985" s="253" t="s">
        <v>1358</v>
      </c>
      <c r="G985" s="253" t="s">
        <v>22</v>
      </c>
      <c r="H985" s="254">
        <v>2858</v>
      </c>
      <c r="I985" s="254">
        <v>2311</v>
      </c>
      <c r="J985" s="254">
        <v>3184.3292980000001</v>
      </c>
      <c r="K985" s="254">
        <v>2574.8722910000001</v>
      </c>
      <c r="L985" s="254">
        <v>609.45700699999998</v>
      </c>
      <c r="M985" s="254">
        <v>23.669407183037645</v>
      </c>
    </row>
    <row r="986" spans="1:13" ht="25.05" customHeight="1" x14ac:dyDescent="0.3">
      <c r="A986" s="253" t="s">
        <v>1357</v>
      </c>
      <c r="B986" s="252" t="s">
        <v>1139</v>
      </c>
      <c r="C986" s="252" t="s">
        <v>1140</v>
      </c>
      <c r="D986" s="252" t="s">
        <v>43</v>
      </c>
      <c r="E986" s="252" t="s">
        <v>40</v>
      </c>
      <c r="F986" s="253" t="s">
        <v>1358</v>
      </c>
      <c r="G986" s="253" t="s">
        <v>22</v>
      </c>
      <c r="H986" s="254">
        <v>1904</v>
      </c>
      <c r="I986" s="254">
        <v>1969</v>
      </c>
      <c r="J986" s="254">
        <v>2121.4006240000003</v>
      </c>
      <c r="K986" s="254">
        <v>2193.8223890000004</v>
      </c>
      <c r="L986" s="254">
        <v>-72.42176500000005</v>
      </c>
      <c r="M986" s="254">
        <v>-3.3011681056373812</v>
      </c>
    </row>
    <row r="987" spans="1:13" ht="25.05" customHeight="1" x14ac:dyDescent="0.3">
      <c r="A987" s="253" t="s">
        <v>1357</v>
      </c>
      <c r="B987" s="252" t="s">
        <v>1377</v>
      </c>
      <c r="C987" s="252" t="s">
        <v>1378</v>
      </c>
      <c r="D987" s="252" t="s">
        <v>43</v>
      </c>
      <c r="E987" s="252" t="s">
        <v>46</v>
      </c>
      <c r="F987" s="253" t="s">
        <v>1358</v>
      </c>
      <c r="G987" s="253" t="s">
        <v>22</v>
      </c>
      <c r="H987" s="254">
        <v>1108</v>
      </c>
      <c r="I987" s="254">
        <v>1129</v>
      </c>
      <c r="J987" s="254">
        <v>1234.5125480000002</v>
      </c>
      <c r="K987" s="254">
        <v>1257.910349</v>
      </c>
      <c r="L987" s="254">
        <v>-23.397800999999845</v>
      </c>
      <c r="M987" s="254">
        <v>-1.860053144375541</v>
      </c>
    </row>
    <row r="988" spans="1:13" ht="25.05" customHeight="1" x14ac:dyDescent="0.3">
      <c r="A988" s="253" t="s">
        <v>1357</v>
      </c>
      <c r="B988" s="252" t="s">
        <v>1362</v>
      </c>
      <c r="C988" s="252" t="s">
        <v>376</v>
      </c>
      <c r="D988" s="252" t="s">
        <v>43</v>
      </c>
      <c r="E988" s="252" t="s">
        <v>40</v>
      </c>
      <c r="F988" s="253" t="s">
        <v>1358</v>
      </c>
      <c r="G988" s="253" t="s">
        <v>22</v>
      </c>
      <c r="H988" s="254">
        <v>1017</v>
      </c>
      <c r="I988" s="254">
        <v>1587</v>
      </c>
      <c r="J988" s="254">
        <v>1133.122077</v>
      </c>
      <c r="K988" s="254">
        <v>1768.2052470000001</v>
      </c>
      <c r="L988" s="254">
        <v>-635.08317000000011</v>
      </c>
      <c r="M988" s="254">
        <v>-35.916824196597361</v>
      </c>
    </row>
    <row r="989" spans="1:13" ht="25.05" customHeight="1" x14ac:dyDescent="0.3">
      <c r="A989" s="253" t="s">
        <v>1357</v>
      </c>
      <c r="B989" s="252" t="s">
        <v>1379</v>
      </c>
      <c r="C989" s="252" t="s">
        <v>1380</v>
      </c>
      <c r="D989" s="252" t="s">
        <v>43</v>
      </c>
      <c r="E989" s="252" t="s">
        <v>40</v>
      </c>
      <c r="F989" s="253" t="s">
        <v>1358</v>
      </c>
      <c r="G989" s="253" t="s">
        <v>22</v>
      </c>
      <c r="H989" s="254">
        <v>642</v>
      </c>
      <c r="I989" s="254">
        <v>751</v>
      </c>
      <c r="J989" s="254">
        <v>715.30420200000003</v>
      </c>
      <c r="K989" s="254">
        <v>836.74993100000006</v>
      </c>
      <c r="L989" s="254">
        <v>-121.44572900000003</v>
      </c>
      <c r="M989" s="254">
        <v>-14.513981358189085</v>
      </c>
    </row>
    <row r="990" spans="1:13" ht="25.05" customHeight="1" x14ac:dyDescent="0.3">
      <c r="A990" s="253" t="s">
        <v>1357</v>
      </c>
      <c r="B990" s="252" t="s">
        <v>1381</v>
      </c>
      <c r="C990" s="252" t="s">
        <v>1382</v>
      </c>
      <c r="D990" s="252" t="s">
        <v>43</v>
      </c>
      <c r="E990" s="252" t="s">
        <v>46</v>
      </c>
      <c r="F990" s="253" t="s">
        <v>1358</v>
      </c>
      <c r="G990" s="253" t="s">
        <v>22</v>
      </c>
      <c r="H990" s="254">
        <v>606</v>
      </c>
      <c r="I990" s="254">
        <v>656</v>
      </c>
      <c r="J990" s="254">
        <v>675.19368600000007</v>
      </c>
      <c r="K990" s="254">
        <v>730.902736</v>
      </c>
      <c r="L990" s="254">
        <v>-55.709049999999934</v>
      </c>
      <c r="M990" s="254">
        <v>-7.6219512195121863</v>
      </c>
    </row>
    <row r="991" spans="1:13" ht="25.05" customHeight="1" x14ac:dyDescent="0.3">
      <c r="A991" s="253" t="s">
        <v>1357</v>
      </c>
      <c r="B991" s="252" t="s">
        <v>23</v>
      </c>
      <c r="C991" s="252">
        <v>0</v>
      </c>
      <c r="D991" s="252" t="s">
        <v>43</v>
      </c>
      <c r="E991" s="252" t="s">
        <v>20</v>
      </c>
      <c r="F991" s="253" t="s">
        <v>1358</v>
      </c>
      <c r="G991" s="253" t="s">
        <v>22</v>
      </c>
      <c r="H991" s="254">
        <v>93</v>
      </c>
      <c r="I991" s="254">
        <v>111</v>
      </c>
      <c r="J991" s="254">
        <v>103.61883300000001</v>
      </c>
      <c r="K991" s="254">
        <v>123.674091</v>
      </c>
      <c r="L991" s="254">
        <v>-20.055257999999995</v>
      </c>
      <c r="M991" s="254">
        <v>-16.21621621621621</v>
      </c>
    </row>
    <row r="992" spans="1:13" ht="25.05" customHeight="1" x14ac:dyDescent="0.3">
      <c r="A992" s="253" t="s">
        <v>1357</v>
      </c>
      <c r="B992" s="252" t="s">
        <v>626</v>
      </c>
      <c r="C992" s="252">
        <v>0</v>
      </c>
      <c r="D992" s="252" t="s">
        <v>43</v>
      </c>
      <c r="E992" s="252" t="s">
        <v>20</v>
      </c>
      <c r="F992" s="253" t="s">
        <v>1358</v>
      </c>
      <c r="G992" s="253" t="s">
        <v>22</v>
      </c>
      <c r="H992" s="254">
        <v>8228</v>
      </c>
      <c r="I992" s="254">
        <v>8514</v>
      </c>
      <c r="J992" s="254">
        <v>9167.4812680000014</v>
      </c>
      <c r="K992" s="254">
        <v>9486.1370340000012</v>
      </c>
      <c r="L992" s="254">
        <v>-318.65576599999986</v>
      </c>
      <c r="M992" s="254">
        <v>-3.3591731266149853</v>
      </c>
    </row>
    <row r="993" spans="1:13" ht="25.05" customHeight="1" x14ac:dyDescent="0.3">
      <c r="A993" s="253" t="s">
        <v>1357</v>
      </c>
      <c r="B993" s="252" t="s">
        <v>1383</v>
      </c>
      <c r="C993" s="252" t="s">
        <v>374</v>
      </c>
      <c r="D993" s="252" t="s">
        <v>62</v>
      </c>
      <c r="E993" s="252" t="s">
        <v>40</v>
      </c>
      <c r="F993" s="253" t="s">
        <v>1358</v>
      </c>
      <c r="G993" s="253" t="s">
        <v>22</v>
      </c>
      <c r="H993" s="254">
        <v>4326</v>
      </c>
      <c r="I993" s="254">
        <v>3708</v>
      </c>
      <c r="J993" s="254">
        <v>4819.9470060000003</v>
      </c>
      <c r="K993" s="254">
        <v>4131.3831479999999</v>
      </c>
      <c r="L993" s="254">
        <v>688.56385800000044</v>
      </c>
      <c r="M993" s="254">
        <v>16.666666666666679</v>
      </c>
    </row>
    <row r="994" spans="1:13" ht="25.05" customHeight="1" x14ac:dyDescent="0.3">
      <c r="A994" s="253" t="s">
        <v>1357</v>
      </c>
      <c r="B994" s="252" t="s">
        <v>1384</v>
      </c>
      <c r="C994" s="252" t="s">
        <v>1385</v>
      </c>
      <c r="D994" s="252" t="s">
        <v>62</v>
      </c>
      <c r="E994" s="252" t="s">
        <v>46</v>
      </c>
      <c r="F994" s="253" t="s">
        <v>1358</v>
      </c>
      <c r="G994" s="253" t="s">
        <v>22</v>
      </c>
      <c r="H994" s="254">
        <v>361</v>
      </c>
      <c r="I994" s="254">
        <v>367</v>
      </c>
      <c r="J994" s="254">
        <v>402.21934100000004</v>
      </c>
      <c r="K994" s="254">
        <v>408.90442700000006</v>
      </c>
      <c r="L994" s="254">
        <v>-6.6850860000000125</v>
      </c>
      <c r="M994" s="254">
        <v>-1.6348773841961883</v>
      </c>
    </row>
    <row r="995" spans="1:13" ht="25.05" customHeight="1" x14ac:dyDescent="0.3">
      <c r="A995" s="253" t="s">
        <v>1357</v>
      </c>
      <c r="B995" s="252" t="s">
        <v>23</v>
      </c>
      <c r="C995" s="252">
        <v>0</v>
      </c>
      <c r="D995" s="252" t="s">
        <v>62</v>
      </c>
      <c r="E995" s="252" t="s">
        <v>20</v>
      </c>
      <c r="F995" s="253" t="s">
        <v>1358</v>
      </c>
      <c r="G995" s="253" t="s">
        <v>22</v>
      </c>
      <c r="H995" s="254">
        <v>250</v>
      </c>
      <c r="I995" s="254">
        <v>283</v>
      </c>
      <c r="J995" s="254">
        <v>278.54525000000001</v>
      </c>
      <c r="K995" s="254">
        <v>315.31322300000005</v>
      </c>
      <c r="L995" s="254">
        <v>-36.76797300000004</v>
      </c>
      <c r="M995" s="254">
        <v>-11.660777385159021</v>
      </c>
    </row>
    <row r="996" spans="1:13" ht="25.05" customHeight="1" x14ac:dyDescent="0.3">
      <c r="A996" s="253" t="s">
        <v>1357</v>
      </c>
      <c r="B996" s="252" t="s">
        <v>633</v>
      </c>
      <c r="C996" s="252">
        <v>0</v>
      </c>
      <c r="D996" s="252" t="s">
        <v>62</v>
      </c>
      <c r="E996" s="252" t="s">
        <v>20</v>
      </c>
      <c r="F996" s="253" t="s">
        <v>1358</v>
      </c>
      <c r="G996" s="253" t="s">
        <v>22</v>
      </c>
      <c r="H996" s="254">
        <v>4937</v>
      </c>
      <c r="I996" s="254">
        <v>4358</v>
      </c>
      <c r="J996" s="254">
        <v>5500.7115970000004</v>
      </c>
      <c r="K996" s="254">
        <v>4855.6007980000004</v>
      </c>
      <c r="L996" s="254">
        <v>645.11079900000004</v>
      </c>
      <c r="M996" s="254">
        <v>13.285910968334097</v>
      </c>
    </row>
    <row r="997" spans="1:13" ht="25.05" customHeight="1" x14ac:dyDescent="0.3">
      <c r="A997" s="253" t="s">
        <v>1357</v>
      </c>
      <c r="B997" s="252" t="s">
        <v>1386</v>
      </c>
      <c r="C997" s="252" t="s">
        <v>1387</v>
      </c>
      <c r="D997" s="252" t="s">
        <v>113</v>
      </c>
      <c r="E997" s="252" t="s">
        <v>40</v>
      </c>
      <c r="F997" s="253" t="s">
        <v>1358</v>
      </c>
      <c r="G997" s="253" t="s">
        <v>22</v>
      </c>
      <c r="H997" s="254">
        <v>2190</v>
      </c>
      <c r="I997" s="254">
        <v>1380</v>
      </c>
      <c r="J997" s="254">
        <v>2440.0563900000002</v>
      </c>
      <c r="K997" s="254">
        <v>1537.56978</v>
      </c>
      <c r="L997" s="254">
        <v>902.48661000000016</v>
      </c>
      <c r="M997" s="254">
        <v>58.695652173913047</v>
      </c>
    </row>
    <row r="998" spans="1:13" ht="25.05" customHeight="1" x14ac:dyDescent="0.3">
      <c r="A998" s="253" t="s">
        <v>1357</v>
      </c>
      <c r="B998" s="252" t="s">
        <v>1388</v>
      </c>
      <c r="C998" s="252">
        <v>0</v>
      </c>
      <c r="D998" s="252" t="s">
        <v>113</v>
      </c>
      <c r="E998" s="252" t="s">
        <v>20</v>
      </c>
      <c r="F998" s="253" t="s">
        <v>1358</v>
      </c>
      <c r="G998" s="253" t="s">
        <v>22</v>
      </c>
      <c r="H998" s="254">
        <v>2190</v>
      </c>
      <c r="I998" s="254">
        <v>1380</v>
      </c>
      <c r="J998" s="254">
        <v>2440.0563900000002</v>
      </c>
      <c r="K998" s="254">
        <v>1537.56978</v>
      </c>
      <c r="L998" s="254">
        <v>902.48661000000016</v>
      </c>
      <c r="M998" s="254">
        <v>58.695652173913047</v>
      </c>
    </row>
    <row r="999" spans="1:13" ht="25.05" customHeight="1" x14ac:dyDescent="0.3">
      <c r="A999" s="253" t="s">
        <v>1357</v>
      </c>
      <c r="B999" s="252" t="s">
        <v>1122</v>
      </c>
      <c r="C999" s="252" t="s">
        <v>1123</v>
      </c>
      <c r="D999" s="252" t="s">
        <v>72</v>
      </c>
      <c r="E999" s="252" t="s">
        <v>40</v>
      </c>
      <c r="F999" s="253" t="s">
        <v>1358</v>
      </c>
      <c r="G999" s="253" t="s">
        <v>22</v>
      </c>
      <c r="H999" s="254">
        <v>1444</v>
      </c>
      <c r="I999" s="254">
        <v>1826</v>
      </c>
      <c r="J999" s="254">
        <v>1608.8773640000002</v>
      </c>
      <c r="K999" s="254">
        <v>2034.4945060000002</v>
      </c>
      <c r="L999" s="254">
        <v>-425.61714200000006</v>
      </c>
      <c r="M999" s="254">
        <v>-20.920043811610078</v>
      </c>
    </row>
    <row r="1000" spans="1:13" ht="25.05" customHeight="1" x14ac:dyDescent="0.3">
      <c r="A1000" s="253" t="s">
        <v>1357</v>
      </c>
      <c r="B1000" s="252" t="s">
        <v>1389</v>
      </c>
      <c r="C1000" s="252">
        <v>0</v>
      </c>
      <c r="D1000" s="252" t="s">
        <v>72</v>
      </c>
      <c r="E1000" s="252" t="s">
        <v>20</v>
      </c>
      <c r="F1000" s="253" t="s">
        <v>1358</v>
      </c>
      <c r="G1000" s="253" t="s">
        <v>22</v>
      </c>
      <c r="H1000" s="254">
        <v>1444</v>
      </c>
      <c r="I1000" s="254">
        <v>1826</v>
      </c>
      <c r="J1000" s="254">
        <v>1608.8773640000002</v>
      </c>
      <c r="K1000" s="254">
        <v>2034.4945060000002</v>
      </c>
      <c r="L1000" s="254">
        <v>-425.61714200000006</v>
      </c>
      <c r="M1000" s="254">
        <v>-20.920043811610078</v>
      </c>
    </row>
    <row r="1001" spans="1:13" ht="25.05" customHeight="1" x14ac:dyDescent="0.3">
      <c r="A1001" s="253" t="s">
        <v>1357</v>
      </c>
      <c r="B1001" s="252" t="s">
        <v>1390</v>
      </c>
      <c r="C1001" s="252" t="s">
        <v>1391</v>
      </c>
      <c r="D1001" s="252" t="s">
        <v>89</v>
      </c>
      <c r="E1001" s="252" t="s">
        <v>46</v>
      </c>
      <c r="F1001" s="253" t="s">
        <v>1358</v>
      </c>
      <c r="G1001" s="253" t="s">
        <v>22</v>
      </c>
      <c r="H1001" s="254">
        <v>272</v>
      </c>
      <c r="I1001" s="254">
        <v>377</v>
      </c>
      <c r="J1001" s="254">
        <v>303.057232</v>
      </c>
      <c r="K1001" s="254">
        <v>420.04623700000002</v>
      </c>
      <c r="L1001" s="254">
        <v>-116.98900500000002</v>
      </c>
      <c r="M1001" s="254">
        <v>-27.85145888594165</v>
      </c>
    </row>
    <row r="1002" spans="1:13" ht="25.05" customHeight="1" x14ac:dyDescent="0.3">
      <c r="A1002" s="253" t="s">
        <v>1357</v>
      </c>
      <c r="B1002" s="252" t="s">
        <v>1392</v>
      </c>
      <c r="C1002" s="252" t="s">
        <v>1393</v>
      </c>
      <c r="D1002" s="252" t="s">
        <v>89</v>
      </c>
      <c r="E1002" s="252" t="s">
        <v>46</v>
      </c>
      <c r="F1002" s="253" t="s">
        <v>1358</v>
      </c>
      <c r="G1002" s="253" t="s">
        <v>22</v>
      </c>
      <c r="H1002" s="254">
        <v>252</v>
      </c>
      <c r="I1002" s="254">
        <v>342</v>
      </c>
      <c r="J1002" s="254">
        <v>280.77361200000001</v>
      </c>
      <c r="K1002" s="254">
        <v>381.04990200000003</v>
      </c>
      <c r="L1002" s="254">
        <v>-100.27629000000002</v>
      </c>
      <c r="M1002" s="254">
        <v>-26.315789473684216</v>
      </c>
    </row>
    <row r="1003" spans="1:13" ht="25.05" customHeight="1" x14ac:dyDescent="0.3">
      <c r="A1003" s="253" t="s">
        <v>1357</v>
      </c>
      <c r="B1003" s="252" t="s">
        <v>23</v>
      </c>
      <c r="C1003" s="252">
        <v>0</v>
      </c>
      <c r="D1003" s="252" t="s">
        <v>89</v>
      </c>
      <c r="E1003" s="252" t="s">
        <v>20</v>
      </c>
      <c r="F1003" s="253" t="s">
        <v>1358</v>
      </c>
      <c r="G1003" s="253" t="s">
        <v>22</v>
      </c>
      <c r="H1003" s="254">
        <v>337</v>
      </c>
      <c r="I1003" s="254">
        <v>370</v>
      </c>
      <c r="J1003" s="254">
        <v>375.47899700000005</v>
      </c>
      <c r="K1003" s="254">
        <v>412.24697000000003</v>
      </c>
      <c r="L1003" s="254">
        <v>-36.767972999999984</v>
      </c>
      <c r="M1003" s="254">
        <v>-8.918918918918914</v>
      </c>
    </row>
    <row r="1004" spans="1:13" ht="25.05" customHeight="1" x14ac:dyDescent="0.3">
      <c r="A1004" s="253" t="s">
        <v>1357</v>
      </c>
      <c r="B1004" s="252" t="s">
        <v>859</v>
      </c>
      <c r="C1004" s="252">
        <v>0</v>
      </c>
      <c r="D1004" s="252" t="s">
        <v>89</v>
      </c>
      <c r="E1004" s="252" t="s">
        <v>20</v>
      </c>
      <c r="F1004" s="253" t="s">
        <v>1358</v>
      </c>
      <c r="G1004" s="253" t="s">
        <v>22</v>
      </c>
      <c r="H1004" s="254">
        <v>861</v>
      </c>
      <c r="I1004" s="254">
        <v>1089</v>
      </c>
      <c r="J1004" s="254">
        <v>959.30984100000012</v>
      </c>
      <c r="K1004" s="254">
        <v>1213.3431090000001</v>
      </c>
      <c r="L1004" s="254">
        <v>-254.03326800000002</v>
      </c>
      <c r="M1004" s="254">
        <v>-20.9366391184573</v>
      </c>
    </row>
    <row r="1005" spans="1:13" ht="25.05" customHeight="1" x14ac:dyDescent="0.3">
      <c r="A1005" s="253" t="s">
        <v>1357</v>
      </c>
      <c r="B1005" s="252" t="s">
        <v>1394</v>
      </c>
      <c r="C1005" s="252" t="s">
        <v>1395</v>
      </c>
      <c r="D1005" s="252" t="s">
        <v>129</v>
      </c>
      <c r="E1005" s="252" t="s">
        <v>40</v>
      </c>
      <c r="F1005" s="253" t="s">
        <v>1358</v>
      </c>
      <c r="G1005" s="253" t="s">
        <v>22</v>
      </c>
      <c r="H1005" s="254">
        <v>1321</v>
      </c>
      <c r="I1005" s="254">
        <v>1332</v>
      </c>
      <c r="J1005" s="254">
        <v>1471.8331010000002</v>
      </c>
      <c r="K1005" s="254">
        <v>1484.0890920000002</v>
      </c>
      <c r="L1005" s="254">
        <v>-12.255990999999995</v>
      </c>
      <c r="M1005" s="254">
        <v>-0.82582582582582542</v>
      </c>
    </row>
    <row r="1006" spans="1:13" ht="25.05" customHeight="1" x14ac:dyDescent="0.3">
      <c r="A1006" s="253" t="s">
        <v>1357</v>
      </c>
      <c r="B1006" s="252" t="s">
        <v>1396</v>
      </c>
      <c r="C1006" s="252" t="s">
        <v>1397</v>
      </c>
      <c r="D1006" s="252" t="s">
        <v>113</v>
      </c>
      <c r="E1006" s="252" t="s">
        <v>40</v>
      </c>
      <c r="F1006" s="253" t="s">
        <v>1358</v>
      </c>
      <c r="G1006" s="253" t="s">
        <v>22</v>
      </c>
      <c r="H1006" s="254">
        <v>470</v>
      </c>
      <c r="I1006" s="254">
        <v>591</v>
      </c>
      <c r="J1006" s="254">
        <v>523.66507000000001</v>
      </c>
      <c r="K1006" s="254">
        <v>658.48097100000007</v>
      </c>
      <c r="L1006" s="254">
        <v>-134.81590100000005</v>
      </c>
      <c r="M1006" s="254">
        <v>-20.473773265651442</v>
      </c>
    </row>
    <row r="1007" spans="1:13" ht="25.05" customHeight="1" x14ac:dyDescent="0.3">
      <c r="A1007" s="253" t="s">
        <v>1357</v>
      </c>
      <c r="B1007" s="252" t="s">
        <v>1398</v>
      </c>
      <c r="C1007" s="252" t="s">
        <v>1399</v>
      </c>
      <c r="D1007" s="252" t="s">
        <v>113</v>
      </c>
      <c r="E1007" s="252" t="s">
        <v>40</v>
      </c>
      <c r="F1007" s="253" t="s">
        <v>1358</v>
      </c>
      <c r="G1007" s="253" t="s">
        <v>22</v>
      </c>
      <c r="H1007" s="254">
        <v>239</v>
      </c>
      <c r="I1007" s="254">
        <v>262</v>
      </c>
      <c r="J1007" s="254">
        <v>266.28925900000002</v>
      </c>
      <c r="K1007" s="254">
        <v>291.91542200000004</v>
      </c>
      <c r="L1007" s="254">
        <v>-25.62616300000002</v>
      </c>
      <c r="M1007" s="254">
        <v>-8.7786259541984801</v>
      </c>
    </row>
    <row r="1008" spans="1:13" ht="25.05" customHeight="1" x14ac:dyDescent="0.3">
      <c r="A1008" s="253" t="s">
        <v>1357</v>
      </c>
      <c r="B1008" s="252" t="s">
        <v>23</v>
      </c>
      <c r="C1008" s="252">
        <v>0</v>
      </c>
      <c r="D1008" s="252">
        <v>0</v>
      </c>
      <c r="E1008" s="252" t="s">
        <v>20</v>
      </c>
      <c r="F1008" s="253" t="s">
        <v>1358</v>
      </c>
      <c r="G1008" s="253" t="s">
        <v>22</v>
      </c>
      <c r="H1008" s="254">
        <v>1519</v>
      </c>
      <c r="I1008" s="254">
        <v>1593</v>
      </c>
      <c r="J1008" s="254">
        <v>1692.4409390000001</v>
      </c>
      <c r="K1008" s="254">
        <v>1774.8903330000001</v>
      </c>
      <c r="L1008" s="254">
        <v>-82.449393999999984</v>
      </c>
      <c r="M1008" s="254">
        <v>-4.6453232893910856</v>
      </c>
    </row>
    <row r="1009" spans="1:13" ht="25.05" customHeight="1" x14ac:dyDescent="0.3">
      <c r="A1009" s="253" t="s">
        <v>1357</v>
      </c>
      <c r="B1009" s="252" t="s">
        <v>1400</v>
      </c>
      <c r="C1009" s="252">
        <v>0</v>
      </c>
      <c r="D1009" s="252">
        <v>0</v>
      </c>
      <c r="E1009" s="252" t="s">
        <v>20</v>
      </c>
      <c r="F1009" s="253" t="s">
        <v>1358</v>
      </c>
      <c r="G1009" s="253" t="s">
        <v>22</v>
      </c>
      <c r="H1009" s="254">
        <v>3549</v>
      </c>
      <c r="I1009" s="254">
        <v>3778</v>
      </c>
      <c r="J1009" s="254">
        <v>3954.2283690000004</v>
      </c>
      <c r="K1009" s="254">
        <v>4209.3758180000004</v>
      </c>
      <c r="L1009" s="254">
        <v>-255.14744900000005</v>
      </c>
      <c r="M1009" s="254">
        <v>-6.0614081524616203</v>
      </c>
    </row>
    <row r="1010" spans="1:13" ht="25.05" customHeight="1" x14ac:dyDescent="0.3">
      <c r="A1010" s="253" t="s">
        <v>1357</v>
      </c>
      <c r="B1010" s="252" t="s">
        <v>1401</v>
      </c>
      <c r="C1010" s="252">
        <v>0</v>
      </c>
      <c r="D1010" s="252">
        <v>0</v>
      </c>
      <c r="E1010" s="252" t="s">
        <v>20</v>
      </c>
      <c r="F1010" s="253" t="s">
        <v>1358</v>
      </c>
      <c r="G1010" s="253" t="s">
        <v>22</v>
      </c>
      <c r="H1010" s="254">
        <v>44532</v>
      </c>
      <c r="I1010" s="254">
        <v>48516</v>
      </c>
      <c r="J1010" s="254">
        <v>49616.708292000003</v>
      </c>
      <c r="K1010" s="254">
        <v>54055.605396000006</v>
      </c>
      <c r="L1010" s="254">
        <v>-4438.8971040000033</v>
      </c>
      <c r="M1010" s="254">
        <v>-8.2117239673509825</v>
      </c>
    </row>
    <row r="1011" spans="1:13" ht="25.05" customHeight="1" x14ac:dyDescent="0.3">
      <c r="A1011" s="253" t="s">
        <v>1357</v>
      </c>
      <c r="B1011" s="252" t="s">
        <v>492</v>
      </c>
      <c r="C1011" s="252">
        <v>0</v>
      </c>
      <c r="D1011" s="252">
        <v>0</v>
      </c>
      <c r="E1011" s="252" t="s">
        <v>20</v>
      </c>
      <c r="F1011" s="253" t="s">
        <v>1358</v>
      </c>
      <c r="G1011" s="253" t="s">
        <v>22</v>
      </c>
      <c r="H1011" s="254">
        <v>1959</v>
      </c>
      <c r="I1011" s="254">
        <v>2198</v>
      </c>
      <c r="J1011" s="254">
        <v>2182.6805790000003</v>
      </c>
      <c r="K1011" s="254">
        <v>2448.969838</v>
      </c>
      <c r="L1011" s="254">
        <v>-266.28925899999967</v>
      </c>
      <c r="M1011" s="254">
        <v>-10.873521383075509</v>
      </c>
    </row>
    <row r="1012" spans="1:13" ht="25.05" customHeight="1" x14ac:dyDescent="0.3">
      <c r="A1012" s="253" t="s">
        <v>1357</v>
      </c>
      <c r="B1012" s="252" t="s">
        <v>248</v>
      </c>
      <c r="C1012" s="252">
        <v>0</v>
      </c>
      <c r="D1012" s="252">
        <v>0</v>
      </c>
      <c r="E1012" s="252" t="s">
        <v>20</v>
      </c>
      <c r="F1012" s="253" t="s">
        <v>1358</v>
      </c>
      <c r="G1012" s="253" t="s">
        <v>22</v>
      </c>
      <c r="H1012" s="254">
        <v>46491</v>
      </c>
      <c r="I1012" s="254">
        <v>50714</v>
      </c>
      <c r="J1012" s="254">
        <v>51799.388871000003</v>
      </c>
      <c r="K1012" s="254">
        <v>56504.575234000004</v>
      </c>
      <c r="L1012" s="254">
        <v>-4705.1863630000007</v>
      </c>
      <c r="M1012" s="254">
        <v>-8.3270891666995315</v>
      </c>
    </row>
    <row r="1013" spans="1:13" ht="25.05" customHeight="1" x14ac:dyDescent="0.3">
      <c r="A1013" s="253" t="s">
        <v>1357</v>
      </c>
      <c r="B1013" s="252" t="s">
        <v>1402</v>
      </c>
      <c r="C1013" s="252">
        <v>0</v>
      </c>
      <c r="D1013" s="252" t="s">
        <v>30</v>
      </c>
      <c r="E1013" s="252" t="s">
        <v>20</v>
      </c>
      <c r="F1013" s="253" t="s">
        <v>1358</v>
      </c>
      <c r="G1013" s="253" t="s">
        <v>22</v>
      </c>
      <c r="H1013" s="254">
        <v>13791</v>
      </c>
      <c r="I1013" s="254">
        <v>12950</v>
      </c>
      <c r="J1013" s="254">
        <v>15365.670171000002</v>
      </c>
      <c r="K1013" s="254">
        <v>14428.643950000001</v>
      </c>
      <c r="L1013" s="254">
        <v>937.02622100000008</v>
      </c>
      <c r="M1013" s="254">
        <v>6.4942084942084932</v>
      </c>
    </row>
    <row r="1014" spans="1:13" ht="25.05" customHeight="1" x14ac:dyDescent="0.3">
      <c r="A1014" s="253" t="s">
        <v>1357</v>
      </c>
      <c r="B1014" s="252" t="s">
        <v>492</v>
      </c>
      <c r="C1014" s="252">
        <v>0</v>
      </c>
      <c r="D1014" s="252">
        <v>0</v>
      </c>
      <c r="E1014" s="252" t="s">
        <v>20</v>
      </c>
      <c r="F1014" s="253" t="s">
        <v>1358</v>
      </c>
      <c r="G1014" s="253" t="s">
        <v>22</v>
      </c>
      <c r="H1014" s="254">
        <v>61</v>
      </c>
      <c r="I1014" s="254">
        <v>87</v>
      </c>
      <c r="J1014" s="254">
        <v>67.965040999999999</v>
      </c>
      <c r="K1014" s="254">
        <v>96.933747000000011</v>
      </c>
      <c r="L1014" s="254">
        <v>-28.968706000000012</v>
      </c>
      <c r="M1014" s="254">
        <v>-29.885057471264375</v>
      </c>
    </row>
    <row r="1015" spans="1:13" ht="25.05" customHeight="1" x14ac:dyDescent="0.3">
      <c r="A1015" s="267" t="s">
        <v>1357</v>
      </c>
      <c r="B1015" s="268" t="s">
        <v>348</v>
      </c>
      <c r="C1015" s="268">
        <v>0</v>
      </c>
      <c r="D1015" s="268">
        <v>0</v>
      </c>
      <c r="E1015" s="268" t="s">
        <v>20</v>
      </c>
      <c r="F1015" s="267" t="s">
        <v>1358</v>
      </c>
      <c r="G1015" s="267" t="s">
        <v>22</v>
      </c>
      <c r="H1015" s="269">
        <v>60343</v>
      </c>
      <c r="I1015" s="269">
        <v>63751</v>
      </c>
      <c r="J1015" s="269">
        <v>67233.024083000011</v>
      </c>
      <c r="K1015" s="269">
        <v>71030.152931000004</v>
      </c>
      <c r="L1015" s="269">
        <v>-3797.128847999993</v>
      </c>
      <c r="M1015" s="269">
        <v>-5.345798497278464</v>
      </c>
    </row>
    <row r="1016" spans="1:13" ht="25.05" customHeight="1" x14ac:dyDescent="0.3">
      <c r="A1016" s="253" t="s">
        <v>1403</v>
      </c>
      <c r="B1016" s="252" t="s">
        <v>1799</v>
      </c>
      <c r="C1016" s="252" t="s">
        <v>1340</v>
      </c>
      <c r="D1016" s="252" t="s">
        <v>56</v>
      </c>
      <c r="E1016" s="252" t="s">
        <v>40</v>
      </c>
      <c r="F1016" s="253" t="s">
        <v>316</v>
      </c>
      <c r="G1016" s="253" t="s">
        <v>22</v>
      </c>
      <c r="H1016" s="254">
        <v>3534</v>
      </c>
      <c r="I1016" s="254">
        <v>2109</v>
      </c>
      <c r="J1016" s="254">
        <v>4274.7087300000003</v>
      </c>
      <c r="K1016" s="254">
        <v>2551.0358550000001</v>
      </c>
      <c r="L1016" s="254">
        <v>1723.6728750000002</v>
      </c>
      <c r="M1016" s="254">
        <v>67.567567567567579</v>
      </c>
    </row>
    <row r="1017" spans="1:13" ht="25.05" customHeight="1" x14ac:dyDescent="0.3">
      <c r="A1017" s="253" t="s">
        <v>1403</v>
      </c>
      <c r="B1017" s="252" t="s">
        <v>1404</v>
      </c>
      <c r="C1017" s="252" t="s">
        <v>1405</v>
      </c>
      <c r="D1017" s="252" t="s">
        <v>62</v>
      </c>
      <c r="E1017" s="252" t="s">
        <v>46</v>
      </c>
      <c r="F1017" s="253" t="s">
        <v>316</v>
      </c>
      <c r="G1017" s="253" t="s">
        <v>22</v>
      </c>
      <c r="H1017" s="254">
        <v>2045</v>
      </c>
      <c r="I1017" s="254">
        <v>1879</v>
      </c>
      <c r="J1017" s="254">
        <v>2473.6217750000001</v>
      </c>
      <c r="K1017" s="254">
        <v>2272.8290050000001</v>
      </c>
      <c r="L1017" s="254">
        <v>200.79277000000002</v>
      </c>
      <c r="M1017" s="254">
        <v>8.8344864289515712</v>
      </c>
    </row>
    <row r="1018" spans="1:13" ht="25.05" customHeight="1" x14ac:dyDescent="0.3">
      <c r="A1018" s="253" t="s">
        <v>1403</v>
      </c>
      <c r="B1018" s="252" t="s">
        <v>1406</v>
      </c>
      <c r="C1018" s="252" t="s">
        <v>1407</v>
      </c>
      <c r="D1018" s="252" t="s">
        <v>62</v>
      </c>
      <c r="E1018" s="252" t="s">
        <v>40</v>
      </c>
      <c r="F1018" s="253" t="s">
        <v>316</v>
      </c>
      <c r="G1018" s="253" t="s">
        <v>22</v>
      </c>
      <c r="H1018" s="254">
        <v>113</v>
      </c>
      <c r="I1018" s="254">
        <v>281</v>
      </c>
      <c r="J1018" s="254">
        <v>136.684235</v>
      </c>
      <c r="K1018" s="254">
        <v>339.89619499999998</v>
      </c>
      <c r="L1018" s="254">
        <v>-203.21195999999998</v>
      </c>
      <c r="M1018" s="254">
        <v>-59.786476868327398</v>
      </c>
    </row>
    <row r="1019" spans="1:13" ht="25.05" customHeight="1" x14ac:dyDescent="0.3">
      <c r="A1019" s="253" t="s">
        <v>1403</v>
      </c>
      <c r="B1019" s="252" t="s">
        <v>1346</v>
      </c>
      <c r="C1019" s="252" t="s">
        <v>1347</v>
      </c>
      <c r="D1019" s="252" t="s">
        <v>43</v>
      </c>
      <c r="E1019" s="252" t="s">
        <v>40</v>
      </c>
      <c r="F1019" s="253" t="s">
        <v>316</v>
      </c>
      <c r="G1019" s="253" t="s">
        <v>22</v>
      </c>
      <c r="H1019" s="254">
        <v>236</v>
      </c>
      <c r="I1019" s="254">
        <v>185</v>
      </c>
      <c r="J1019" s="254">
        <v>285.46442000000002</v>
      </c>
      <c r="K1019" s="254">
        <v>223.77507499999999</v>
      </c>
      <c r="L1019" s="254">
        <v>61.689345000000031</v>
      </c>
      <c r="M1019" s="254">
        <v>27.567567567567586</v>
      </c>
    </row>
    <row r="1020" spans="1:13" ht="25.05" customHeight="1" x14ac:dyDescent="0.3">
      <c r="A1020" s="253" t="s">
        <v>1403</v>
      </c>
      <c r="B1020" s="252" t="s">
        <v>1408</v>
      </c>
      <c r="C1020" s="252">
        <v>0</v>
      </c>
      <c r="D1020" s="252">
        <v>0</v>
      </c>
      <c r="E1020" s="252" t="s">
        <v>20</v>
      </c>
      <c r="F1020" s="253" t="s">
        <v>316</v>
      </c>
      <c r="G1020" s="253" t="s">
        <v>22</v>
      </c>
      <c r="H1020" s="254">
        <v>2394</v>
      </c>
      <c r="I1020" s="254">
        <v>2343</v>
      </c>
      <c r="J1020" s="254">
        <v>2895.77043</v>
      </c>
      <c r="K1020" s="254">
        <v>2834.0810849999998</v>
      </c>
      <c r="L1020" s="254">
        <v>61.68934500000023</v>
      </c>
      <c r="M1020" s="254">
        <v>2.1766965428937342</v>
      </c>
    </row>
    <row r="1021" spans="1:13" ht="25.05" customHeight="1" x14ac:dyDescent="0.3">
      <c r="A1021" s="253" t="s">
        <v>1403</v>
      </c>
      <c r="B1021" s="252" t="s">
        <v>1409</v>
      </c>
      <c r="C1021" s="252" t="s">
        <v>1410</v>
      </c>
      <c r="D1021" s="252" t="s">
        <v>92</v>
      </c>
      <c r="E1021" s="252" t="s">
        <v>40</v>
      </c>
      <c r="F1021" s="253" t="s">
        <v>316</v>
      </c>
      <c r="G1021" s="253" t="s">
        <v>22</v>
      </c>
      <c r="H1021" s="254">
        <v>690</v>
      </c>
      <c r="I1021" s="254">
        <v>708</v>
      </c>
      <c r="J1021" s="254">
        <v>834.62054999999998</v>
      </c>
      <c r="K1021" s="254">
        <v>856.39325999999994</v>
      </c>
      <c r="L1021" s="254">
        <v>-21.772709999999961</v>
      </c>
      <c r="M1021" s="254">
        <v>-2.5423728813559276</v>
      </c>
    </row>
    <row r="1022" spans="1:13" ht="25.05" customHeight="1" x14ac:dyDescent="0.3">
      <c r="A1022" s="253" t="s">
        <v>1403</v>
      </c>
      <c r="B1022" s="252" t="s">
        <v>1411</v>
      </c>
      <c r="C1022" s="252" t="s">
        <v>1412</v>
      </c>
      <c r="D1022" s="252" t="s">
        <v>92</v>
      </c>
      <c r="E1022" s="252" t="s">
        <v>46</v>
      </c>
      <c r="F1022" s="253" t="s">
        <v>316</v>
      </c>
      <c r="G1022" s="253" t="s">
        <v>22</v>
      </c>
      <c r="H1022" s="254">
        <v>234</v>
      </c>
      <c r="I1022" s="254">
        <v>206</v>
      </c>
      <c r="J1022" s="254">
        <v>283.04523</v>
      </c>
      <c r="K1022" s="254">
        <v>249.17657</v>
      </c>
      <c r="L1022" s="254">
        <v>33.868660000000006</v>
      </c>
      <c r="M1022" s="254">
        <v>13.592233009708741</v>
      </c>
    </row>
    <row r="1023" spans="1:13" ht="25.05" customHeight="1" x14ac:dyDescent="0.3">
      <c r="A1023" s="253" t="s">
        <v>1403</v>
      </c>
      <c r="B1023" s="252" t="s">
        <v>1413</v>
      </c>
      <c r="C1023" s="252" t="s">
        <v>1414</v>
      </c>
      <c r="D1023" s="252" t="s">
        <v>92</v>
      </c>
      <c r="E1023" s="252" t="s">
        <v>40</v>
      </c>
      <c r="F1023" s="253" t="s">
        <v>316</v>
      </c>
      <c r="G1023" s="253" t="s">
        <v>22</v>
      </c>
      <c r="H1023" s="254">
        <v>948</v>
      </c>
      <c r="I1023" s="254">
        <v>918</v>
      </c>
      <c r="J1023" s="254">
        <v>1146.69606</v>
      </c>
      <c r="K1023" s="254">
        <v>1110.4082100000001</v>
      </c>
      <c r="L1023" s="254">
        <v>36.287849999999935</v>
      </c>
      <c r="M1023" s="254">
        <v>3.267973856209144</v>
      </c>
    </row>
    <row r="1024" spans="1:13" ht="25.05" customHeight="1" x14ac:dyDescent="0.3">
      <c r="A1024" s="253" t="s">
        <v>1403</v>
      </c>
      <c r="B1024" s="252" t="s">
        <v>1415</v>
      </c>
      <c r="C1024" s="252" t="s">
        <v>1416</v>
      </c>
      <c r="D1024" s="252" t="s">
        <v>92</v>
      </c>
      <c r="E1024" s="252" t="s">
        <v>40</v>
      </c>
      <c r="F1024" s="253" t="s">
        <v>316</v>
      </c>
      <c r="G1024" s="253" t="s">
        <v>22</v>
      </c>
      <c r="H1024" s="254">
        <v>817</v>
      </c>
      <c r="I1024" s="254">
        <v>813</v>
      </c>
      <c r="J1024" s="254">
        <v>988.23911499999997</v>
      </c>
      <c r="K1024" s="254">
        <v>983.40073499999994</v>
      </c>
      <c r="L1024" s="254">
        <v>4.8383800000000292</v>
      </c>
      <c r="M1024" s="254">
        <v>0.49200492004920343</v>
      </c>
    </row>
    <row r="1025" spans="1:13" ht="25.05" customHeight="1" x14ac:dyDescent="0.3">
      <c r="A1025" s="253" t="s">
        <v>1403</v>
      </c>
      <c r="B1025" s="252" t="s">
        <v>1417</v>
      </c>
      <c r="C1025" s="252" t="s">
        <v>390</v>
      </c>
      <c r="D1025" s="252" t="s">
        <v>92</v>
      </c>
      <c r="E1025" s="252" t="s">
        <v>40</v>
      </c>
      <c r="F1025" s="253" t="s">
        <v>316</v>
      </c>
      <c r="G1025" s="253" t="s">
        <v>22</v>
      </c>
      <c r="H1025" s="254">
        <v>234</v>
      </c>
      <c r="I1025" s="254">
        <v>224</v>
      </c>
      <c r="J1025" s="254">
        <v>283.04523</v>
      </c>
      <c r="K1025" s="254">
        <v>270.94927999999999</v>
      </c>
      <c r="L1025" s="254">
        <v>12.095950000000016</v>
      </c>
      <c r="M1025" s="254">
        <v>4.4642857142857206</v>
      </c>
    </row>
    <row r="1026" spans="1:13" ht="25.05" customHeight="1" x14ac:dyDescent="0.3">
      <c r="A1026" s="253" t="s">
        <v>1403</v>
      </c>
      <c r="B1026" s="252" t="s">
        <v>1418</v>
      </c>
      <c r="C1026" s="252">
        <v>0</v>
      </c>
      <c r="D1026" s="252" t="s">
        <v>92</v>
      </c>
      <c r="E1026" s="252" t="s">
        <v>20</v>
      </c>
      <c r="F1026" s="253" t="s">
        <v>316</v>
      </c>
      <c r="G1026" s="253" t="s">
        <v>22</v>
      </c>
      <c r="H1026" s="254">
        <v>3011</v>
      </c>
      <c r="I1026" s="254">
        <v>2919</v>
      </c>
      <c r="J1026" s="254">
        <v>3642.090545</v>
      </c>
      <c r="K1026" s="254">
        <v>3530.8078049999999</v>
      </c>
      <c r="L1026" s="254">
        <v>111.2827400000001</v>
      </c>
      <c r="M1026" s="254">
        <v>3.1517643028434428</v>
      </c>
    </row>
    <row r="1027" spans="1:13" ht="25.05" customHeight="1" x14ac:dyDescent="0.3">
      <c r="A1027" s="253" t="s">
        <v>1403</v>
      </c>
      <c r="B1027" s="252" t="s">
        <v>1419</v>
      </c>
      <c r="C1027" s="252" t="s">
        <v>1420</v>
      </c>
      <c r="D1027" s="252" t="s">
        <v>49</v>
      </c>
      <c r="E1027" s="252" t="s">
        <v>46</v>
      </c>
      <c r="F1027" s="253" t="s">
        <v>316</v>
      </c>
      <c r="G1027" s="253" t="s">
        <v>22</v>
      </c>
      <c r="H1027" s="254">
        <v>536</v>
      </c>
      <c r="I1027" s="254">
        <v>484</v>
      </c>
      <c r="J1027" s="254">
        <v>648.34291999999994</v>
      </c>
      <c r="K1027" s="254">
        <v>585.44398000000001</v>
      </c>
      <c r="L1027" s="254">
        <v>62.898939999999925</v>
      </c>
      <c r="M1027" s="254">
        <v>10.743801652892548</v>
      </c>
    </row>
    <row r="1028" spans="1:13" ht="25.05" customHeight="1" x14ac:dyDescent="0.3">
      <c r="A1028" s="253" t="s">
        <v>1403</v>
      </c>
      <c r="B1028" s="252" t="s">
        <v>1421</v>
      </c>
      <c r="C1028" s="252" t="s">
        <v>1422</v>
      </c>
      <c r="D1028" s="252" t="s">
        <v>49</v>
      </c>
      <c r="E1028" s="252" t="s">
        <v>40</v>
      </c>
      <c r="F1028" s="253" t="s">
        <v>316</v>
      </c>
      <c r="G1028" s="253" t="s">
        <v>22</v>
      </c>
      <c r="H1028" s="254">
        <v>152</v>
      </c>
      <c r="I1028" s="254">
        <v>0</v>
      </c>
      <c r="J1028" s="254">
        <v>183.85844</v>
      </c>
      <c r="K1028" s="254">
        <v>0</v>
      </c>
      <c r="L1028" s="254">
        <v>183.85844</v>
      </c>
      <c r="M1028" s="254"/>
    </row>
    <row r="1029" spans="1:13" ht="25.05" customHeight="1" x14ac:dyDescent="0.3">
      <c r="A1029" s="253" t="s">
        <v>1403</v>
      </c>
      <c r="B1029" s="252" t="s">
        <v>1341</v>
      </c>
      <c r="C1029" s="252" t="s">
        <v>1342</v>
      </c>
      <c r="D1029" s="252" t="s">
        <v>49</v>
      </c>
      <c r="E1029" s="252" t="s">
        <v>40</v>
      </c>
      <c r="F1029" s="253" t="s">
        <v>316</v>
      </c>
      <c r="G1029" s="253" t="s">
        <v>22</v>
      </c>
      <c r="H1029" s="254">
        <v>67</v>
      </c>
      <c r="I1029" s="254">
        <v>176</v>
      </c>
      <c r="J1029" s="254">
        <v>81.042864999999992</v>
      </c>
      <c r="K1029" s="254">
        <v>212.88872000000001</v>
      </c>
      <c r="L1029" s="254">
        <v>-131.84585500000003</v>
      </c>
      <c r="M1029" s="254">
        <v>-61.931818181818187</v>
      </c>
    </row>
    <row r="1030" spans="1:13" ht="25.05" customHeight="1" x14ac:dyDescent="0.3">
      <c r="A1030" s="253" t="s">
        <v>1403</v>
      </c>
      <c r="B1030" s="252" t="s">
        <v>1423</v>
      </c>
      <c r="C1030" s="252" t="s">
        <v>1424</v>
      </c>
      <c r="D1030" s="252" t="s">
        <v>49</v>
      </c>
      <c r="E1030" s="252" t="s">
        <v>40</v>
      </c>
      <c r="F1030" s="253" t="s">
        <v>316</v>
      </c>
      <c r="G1030" s="253" t="s">
        <v>22</v>
      </c>
      <c r="H1030" s="254">
        <v>43</v>
      </c>
      <c r="I1030" s="254">
        <v>0</v>
      </c>
      <c r="J1030" s="254">
        <v>52.012585000000001</v>
      </c>
      <c r="K1030" s="254">
        <v>0</v>
      </c>
      <c r="L1030" s="254">
        <v>52.012585000000001</v>
      </c>
      <c r="M1030" s="254" t="s">
        <v>67</v>
      </c>
    </row>
    <row r="1031" spans="1:13" ht="25.05" customHeight="1" x14ac:dyDescent="0.3">
      <c r="A1031" s="253" t="s">
        <v>1403</v>
      </c>
      <c r="B1031" s="252" t="s">
        <v>198</v>
      </c>
      <c r="C1031" s="252">
        <v>0</v>
      </c>
      <c r="D1031" s="252" t="s">
        <v>49</v>
      </c>
      <c r="E1031" s="252" t="s">
        <v>20</v>
      </c>
      <c r="F1031" s="253" t="s">
        <v>316</v>
      </c>
      <c r="G1031" s="253" t="s">
        <v>22</v>
      </c>
      <c r="H1031" s="254">
        <v>798</v>
      </c>
      <c r="I1031" s="254">
        <v>1124</v>
      </c>
      <c r="J1031" s="254">
        <v>965.25680999999997</v>
      </c>
      <c r="K1031" s="254">
        <v>1359.5847799999999</v>
      </c>
      <c r="L1031" s="254">
        <v>-394.32796999999994</v>
      </c>
      <c r="M1031" s="254">
        <v>-29.003558718861207</v>
      </c>
    </row>
    <row r="1032" spans="1:13" ht="25.05" customHeight="1" x14ac:dyDescent="0.3">
      <c r="A1032" s="253" t="s">
        <v>1403</v>
      </c>
      <c r="B1032" s="252" t="s">
        <v>1425</v>
      </c>
      <c r="C1032" s="252" t="s">
        <v>1426</v>
      </c>
      <c r="D1032" s="252" t="s">
        <v>113</v>
      </c>
      <c r="E1032" s="252" t="s">
        <v>40</v>
      </c>
      <c r="F1032" s="253" t="s">
        <v>316</v>
      </c>
      <c r="G1032" s="253" t="s">
        <v>22</v>
      </c>
      <c r="H1032" s="254">
        <v>466</v>
      </c>
      <c r="I1032" s="254">
        <v>412</v>
      </c>
      <c r="J1032" s="254">
        <v>563.67126999999994</v>
      </c>
      <c r="K1032" s="254">
        <v>498.35314</v>
      </c>
      <c r="L1032" s="254">
        <v>65.31812999999994</v>
      </c>
      <c r="M1032" s="254">
        <v>13.106796116504842</v>
      </c>
    </row>
    <row r="1033" spans="1:13" ht="25.05" customHeight="1" x14ac:dyDescent="0.3">
      <c r="A1033" s="253" t="s">
        <v>1403</v>
      </c>
      <c r="B1033" s="252" t="s">
        <v>1427</v>
      </c>
      <c r="C1033" s="252" t="s">
        <v>1428</v>
      </c>
      <c r="D1033" s="252" t="s">
        <v>113</v>
      </c>
      <c r="E1033" s="252" t="s">
        <v>40</v>
      </c>
      <c r="F1033" s="253" t="s">
        <v>316</v>
      </c>
      <c r="G1033" s="253" t="s">
        <v>22</v>
      </c>
      <c r="H1033" s="254">
        <v>638</v>
      </c>
      <c r="I1033" s="254">
        <v>684</v>
      </c>
      <c r="J1033" s="254">
        <v>771.72160999999994</v>
      </c>
      <c r="K1033" s="254">
        <v>827.36297999999999</v>
      </c>
      <c r="L1033" s="254">
        <v>-55.641370000000052</v>
      </c>
      <c r="M1033" s="254">
        <v>-6.7251461988304158</v>
      </c>
    </row>
    <row r="1034" spans="1:13" ht="25.05" customHeight="1" x14ac:dyDescent="0.3">
      <c r="A1034" s="253" t="s">
        <v>1403</v>
      </c>
      <c r="B1034" s="252" t="s">
        <v>1429</v>
      </c>
      <c r="C1034" s="252" t="s">
        <v>1430</v>
      </c>
      <c r="D1034" s="252" t="s">
        <v>113</v>
      </c>
      <c r="E1034" s="252" t="s">
        <v>40</v>
      </c>
      <c r="F1034" s="253" t="s">
        <v>316</v>
      </c>
      <c r="G1034" s="253" t="s">
        <v>22</v>
      </c>
      <c r="H1034" s="254">
        <v>113</v>
      </c>
      <c r="I1034" s="254">
        <v>56</v>
      </c>
      <c r="J1034" s="254">
        <v>136.684235</v>
      </c>
      <c r="K1034" s="254">
        <v>67.737319999999997</v>
      </c>
      <c r="L1034" s="254">
        <v>68.946915000000004</v>
      </c>
      <c r="M1034" s="254">
        <v>101.78571428571431</v>
      </c>
    </row>
    <row r="1035" spans="1:13" ht="25.05" customHeight="1" x14ac:dyDescent="0.3">
      <c r="A1035" s="253" t="s">
        <v>1403</v>
      </c>
      <c r="B1035" s="252" t="s">
        <v>1431</v>
      </c>
      <c r="C1035" s="252">
        <v>0</v>
      </c>
      <c r="D1035" s="252" t="s">
        <v>113</v>
      </c>
      <c r="E1035" s="252" t="s">
        <v>20</v>
      </c>
      <c r="F1035" s="253" t="s">
        <v>316</v>
      </c>
      <c r="G1035" s="253" t="s">
        <v>22</v>
      </c>
      <c r="H1035" s="254">
        <v>1217</v>
      </c>
      <c r="I1035" s="254">
        <v>1152</v>
      </c>
      <c r="J1035" s="254">
        <v>1472.077115</v>
      </c>
      <c r="K1035" s="254">
        <v>1393.45344</v>
      </c>
      <c r="L1035" s="254">
        <v>78.623675000000048</v>
      </c>
      <c r="M1035" s="254">
        <v>5.6423611111111143</v>
      </c>
    </row>
    <row r="1036" spans="1:13" ht="25.05" customHeight="1" x14ac:dyDescent="0.3">
      <c r="A1036" s="253" t="s">
        <v>1403</v>
      </c>
      <c r="B1036" s="252" t="s">
        <v>1432</v>
      </c>
      <c r="C1036" s="252" t="s">
        <v>1433</v>
      </c>
      <c r="D1036" s="252" t="s">
        <v>201</v>
      </c>
      <c r="E1036" s="252" t="s">
        <v>40</v>
      </c>
      <c r="F1036" s="253" t="s">
        <v>316</v>
      </c>
      <c r="G1036" s="253" t="s">
        <v>22</v>
      </c>
      <c r="H1036" s="254">
        <v>2661</v>
      </c>
      <c r="I1036" s="254">
        <v>3012</v>
      </c>
      <c r="J1036" s="254">
        <v>3218.7322949999998</v>
      </c>
      <c r="K1036" s="254">
        <v>3643.3001399999998</v>
      </c>
      <c r="L1036" s="254">
        <v>-424.56784500000003</v>
      </c>
      <c r="M1036" s="254">
        <v>-11.65338645418327</v>
      </c>
    </row>
    <row r="1037" spans="1:13" ht="25.05" customHeight="1" x14ac:dyDescent="0.3">
      <c r="A1037" s="253" t="s">
        <v>1403</v>
      </c>
      <c r="B1037" s="252" t="s">
        <v>1434</v>
      </c>
      <c r="C1037" s="252" t="s">
        <v>1433</v>
      </c>
      <c r="D1037" s="252" t="s">
        <v>201</v>
      </c>
      <c r="E1037" s="252" t="s">
        <v>40</v>
      </c>
      <c r="F1037" s="253" t="s">
        <v>316</v>
      </c>
      <c r="G1037" s="253" t="s">
        <v>22</v>
      </c>
      <c r="H1037" s="254">
        <v>933</v>
      </c>
      <c r="I1037" s="254">
        <v>883</v>
      </c>
      <c r="J1037" s="254">
        <v>1128.5521349999999</v>
      </c>
      <c r="K1037" s="254">
        <v>1068.0723849999999</v>
      </c>
      <c r="L1037" s="254">
        <v>60.479749999999967</v>
      </c>
      <c r="M1037" s="254">
        <v>5.662514156285388</v>
      </c>
    </row>
    <row r="1038" spans="1:13" ht="25.05" customHeight="1" x14ac:dyDescent="0.3">
      <c r="A1038" s="253" t="s">
        <v>1403</v>
      </c>
      <c r="B1038" s="252" t="s">
        <v>1435</v>
      </c>
      <c r="C1038" s="252" t="s">
        <v>1436</v>
      </c>
      <c r="D1038" s="252" t="s">
        <v>201</v>
      </c>
      <c r="E1038" s="252" t="s">
        <v>40</v>
      </c>
      <c r="F1038" s="253" t="s">
        <v>316</v>
      </c>
      <c r="G1038" s="253" t="s">
        <v>22</v>
      </c>
      <c r="H1038" s="254">
        <v>332</v>
      </c>
      <c r="I1038" s="254">
        <v>344</v>
      </c>
      <c r="J1038" s="254">
        <v>401.58553999999998</v>
      </c>
      <c r="K1038" s="254">
        <v>416.10068000000001</v>
      </c>
      <c r="L1038" s="254">
        <v>-14.515140000000031</v>
      </c>
      <c r="M1038" s="254">
        <v>-3.4883720930232633</v>
      </c>
    </row>
    <row r="1039" spans="1:13" ht="25.05" customHeight="1" x14ac:dyDescent="0.3">
      <c r="A1039" s="253" t="s">
        <v>1403</v>
      </c>
      <c r="B1039" s="252" t="s">
        <v>1437</v>
      </c>
      <c r="C1039" s="252" t="s">
        <v>1433</v>
      </c>
      <c r="D1039" s="252" t="s">
        <v>201</v>
      </c>
      <c r="E1039" s="252" t="s">
        <v>40</v>
      </c>
      <c r="F1039" s="253" t="s">
        <v>316</v>
      </c>
      <c r="G1039" s="253" t="s">
        <v>22</v>
      </c>
      <c r="H1039" s="254">
        <v>161</v>
      </c>
      <c r="I1039" s="254">
        <v>122</v>
      </c>
      <c r="J1039" s="254">
        <v>194.74479499999998</v>
      </c>
      <c r="K1039" s="254">
        <v>147.57059000000001</v>
      </c>
      <c r="L1039" s="254">
        <v>47.174204999999972</v>
      </c>
      <c r="M1039" s="254">
        <v>31.967213114754077</v>
      </c>
    </row>
    <row r="1040" spans="1:13" ht="25.05" customHeight="1" x14ac:dyDescent="0.3">
      <c r="A1040" s="253" t="s">
        <v>1403</v>
      </c>
      <c r="B1040" s="252" t="s">
        <v>1025</v>
      </c>
      <c r="C1040" s="252">
        <v>0</v>
      </c>
      <c r="D1040" s="252" t="s">
        <v>201</v>
      </c>
      <c r="E1040" s="252" t="s">
        <v>20</v>
      </c>
      <c r="F1040" s="253" t="s">
        <v>316</v>
      </c>
      <c r="G1040" s="253" t="s">
        <v>22</v>
      </c>
      <c r="H1040" s="254">
        <v>4709</v>
      </c>
      <c r="I1040" s="254">
        <v>4569</v>
      </c>
      <c r="J1040" s="254">
        <v>5695.9828550000002</v>
      </c>
      <c r="K1040" s="254">
        <v>5526.6395549999997</v>
      </c>
      <c r="L1040" s="254">
        <v>169.34330000000045</v>
      </c>
      <c r="M1040" s="254">
        <v>3.0641278179032696</v>
      </c>
    </row>
    <row r="1041" spans="1:13" ht="25.05" customHeight="1" x14ac:dyDescent="0.3">
      <c r="A1041" s="253" t="s">
        <v>1403</v>
      </c>
      <c r="B1041" s="252" t="s">
        <v>1438</v>
      </c>
      <c r="C1041" s="252" t="s">
        <v>1439</v>
      </c>
      <c r="D1041" s="252" t="s">
        <v>129</v>
      </c>
      <c r="E1041" s="252" t="s">
        <v>46</v>
      </c>
      <c r="F1041" s="253" t="s">
        <v>316</v>
      </c>
      <c r="G1041" s="253" t="s">
        <v>22</v>
      </c>
      <c r="H1041" s="254">
        <v>916</v>
      </c>
      <c r="I1041" s="254">
        <v>1334</v>
      </c>
      <c r="J1041" s="254">
        <v>1107.98902</v>
      </c>
      <c r="K1041" s="254">
        <v>1613.5997299999999</v>
      </c>
      <c r="L1041" s="254">
        <v>-505.61070999999993</v>
      </c>
      <c r="M1041" s="254">
        <v>-31.334332833583208</v>
      </c>
    </row>
    <row r="1042" spans="1:13" ht="25.05" customHeight="1" x14ac:dyDescent="0.3">
      <c r="A1042" s="253" t="s">
        <v>1403</v>
      </c>
      <c r="B1042" s="252" t="s">
        <v>1440</v>
      </c>
      <c r="C1042" s="252" t="s">
        <v>1441</v>
      </c>
      <c r="D1042" s="252" t="s">
        <v>113</v>
      </c>
      <c r="E1042" s="252" t="s">
        <v>46</v>
      </c>
      <c r="F1042" s="253" t="s">
        <v>316</v>
      </c>
      <c r="G1042" s="253" t="s">
        <v>22</v>
      </c>
      <c r="H1042" s="254">
        <v>1351</v>
      </c>
      <c r="I1042" s="254">
        <v>1359</v>
      </c>
      <c r="J1042" s="254">
        <v>1634.1628450000001</v>
      </c>
      <c r="K1042" s="254">
        <v>1643.8396049999999</v>
      </c>
      <c r="L1042" s="254">
        <v>-9.6767599999998311</v>
      </c>
      <c r="M1042" s="254">
        <v>-0.58866813833700227</v>
      </c>
    </row>
    <row r="1043" spans="1:13" ht="25.05" customHeight="1" x14ac:dyDescent="0.3">
      <c r="A1043" s="253" t="s">
        <v>1403</v>
      </c>
      <c r="B1043" s="252" t="s">
        <v>1442</v>
      </c>
      <c r="C1043" s="252" t="s">
        <v>1443</v>
      </c>
      <c r="D1043" s="252" t="s">
        <v>258</v>
      </c>
      <c r="E1043" s="252" t="s">
        <v>46</v>
      </c>
      <c r="F1043" s="253" t="s">
        <v>316</v>
      </c>
      <c r="G1043" s="253" t="s">
        <v>22</v>
      </c>
      <c r="H1043" s="254">
        <v>238</v>
      </c>
      <c r="I1043" s="254">
        <v>311</v>
      </c>
      <c r="J1043" s="254">
        <v>287.88360999999998</v>
      </c>
      <c r="K1043" s="254">
        <v>376.18404499999997</v>
      </c>
      <c r="L1043" s="254">
        <v>-88.300434999999993</v>
      </c>
      <c r="M1043" s="254">
        <v>-23.472668810289392</v>
      </c>
    </row>
    <row r="1044" spans="1:13" ht="25.05" customHeight="1" x14ac:dyDescent="0.3">
      <c r="A1044" s="253" t="s">
        <v>1403</v>
      </c>
      <c r="B1044" s="252" t="s">
        <v>1444</v>
      </c>
      <c r="C1044" s="273" t="s">
        <v>1834</v>
      </c>
      <c r="D1044" s="252" t="s">
        <v>129</v>
      </c>
      <c r="E1044" s="252" t="s">
        <v>46</v>
      </c>
      <c r="F1044" s="253" t="s">
        <v>316</v>
      </c>
      <c r="G1044" s="253" t="s">
        <v>22</v>
      </c>
      <c r="H1044" s="254">
        <v>554</v>
      </c>
      <c r="I1044" s="254">
        <v>674</v>
      </c>
      <c r="J1044" s="254">
        <v>670.11563000000001</v>
      </c>
      <c r="K1044" s="254">
        <v>815.26702999999998</v>
      </c>
      <c r="L1044" s="254">
        <v>-145.15139999999997</v>
      </c>
      <c r="M1044" s="254">
        <v>-17.804154302670618</v>
      </c>
    </row>
    <row r="1045" spans="1:13" ht="25.05" customHeight="1" x14ac:dyDescent="0.3">
      <c r="A1045" s="253" t="s">
        <v>1403</v>
      </c>
      <c r="B1045" s="252" t="s">
        <v>1446</v>
      </c>
      <c r="C1045" s="252" t="s">
        <v>1447</v>
      </c>
      <c r="D1045" s="252" t="s">
        <v>126</v>
      </c>
      <c r="E1045" s="252" t="s">
        <v>40</v>
      </c>
      <c r="F1045" s="253" t="s">
        <v>316</v>
      </c>
      <c r="G1045" s="253" t="s">
        <v>22</v>
      </c>
      <c r="H1045" s="254">
        <v>192</v>
      </c>
      <c r="I1045" s="254">
        <v>309</v>
      </c>
      <c r="J1045" s="254">
        <v>232.24223999999998</v>
      </c>
      <c r="K1045" s="254">
        <v>373.76485500000001</v>
      </c>
      <c r="L1045" s="254">
        <v>-141.52261500000003</v>
      </c>
      <c r="M1045" s="254">
        <v>-37.864077669902919</v>
      </c>
    </row>
    <row r="1046" spans="1:13" ht="25.05" customHeight="1" x14ac:dyDescent="0.3">
      <c r="A1046" s="253" t="s">
        <v>1403</v>
      </c>
      <c r="B1046" s="252" t="s">
        <v>1448</v>
      </c>
      <c r="C1046" s="252" t="s">
        <v>1449</v>
      </c>
      <c r="D1046" s="252" t="s">
        <v>49</v>
      </c>
      <c r="E1046" s="252" t="s">
        <v>46</v>
      </c>
      <c r="F1046" s="253" t="s">
        <v>316</v>
      </c>
      <c r="G1046" s="253" t="s">
        <v>22</v>
      </c>
      <c r="H1046" s="254">
        <v>214</v>
      </c>
      <c r="I1046" s="254">
        <v>198</v>
      </c>
      <c r="J1046" s="254">
        <v>258.85332999999997</v>
      </c>
      <c r="K1046" s="254">
        <v>239.49981</v>
      </c>
      <c r="L1046" s="254">
        <v>19.353519999999975</v>
      </c>
      <c r="M1046" s="254">
        <v>8.0808080808080707</v>
      </c>
    </row>
    <row r="1047" spans="1:13" ht="25.05" customHeight="1" x14ac:dyDescent="0.3">
      <c r="A1047" s="253" t="s">
        <v>1403</v>
      </c>
      <c r="B1047" s="252" t="s">
        <v>1450</v>
      </c>
      <c r="C1047" s="252" t="s">
        <v>1451</v>
      </c>
      <c r="D1047" s="252" t="s">
        <v>49</v>
      </c>
      <c r="E1047" s="252" t="s">
        <v>40</v>
      </c>
      <c r="F1047" s="253" t="s">
        <v>316</v>
      </c>
      <c r="G1047" s="253" t="s">
        <v>22</v>
      </c>
      <c r="H1047" s="254">
        <v>316</v>
      </c>
      <c r="I1047" s="254">
        <v>354</v>
      </c>
      <c r="J1047" s="254">
        <v>382.23201999999998</v>
      </c>
      <c r="K1047" s="254">
        <v>428.19662999999997</v>
      </c>
      <c r="L1047" s="254">
        <v>-45.964609999999993</v>
      </c>
      <c r="M1047" s="254">
        <v>-10.734463276836157</v>
      </c>
    </row>
    <row r="1048" spans="1:13" ht="25.05" customHeight="1" x14ac:dyDescent="0.3">
      <c r="A1048" s="253" t="s">
        <v>1403</v>
      </c>
      <c r="B1048" s="252" t="s">
        <v>1452</v>
      </c>
      <c r="C1048" s="252" t="s">
        <v>1453</v>
      </c>
      <c r="D1048" s="252" t="s">
        <v>49</v>
      </c>
      <c r="E1048" s="252" t="s">
        <v>46</v>
      </c>
      <c r="F1048" s="253" t="s">
        <v>316</v>
      </c>
      <c r="G1048" s="253" t="s">
        <v>22</v>
      </c>
      <c r="H1048" s="254">
        <v>160</v>
      </c>
      <c r="I1048" s="254">
        <v>173</v>
      </c>
      <c r="J1048" s="254">
        <v>193.5352</v>
      </c>
      <c r="K1048" s="254">
        <v>209.25993499999998</v>
      </c>
      <c r="L1048" s="254">
        <v>-15.724734999999981</v>
      </c>
      <c r="M1048" s="254">
        <v>-7.5144508670520151</v>
      </c>
    </row>
    <row r="1049" spans="1:13" ht="25.05" customHeight="1" x14ac:dyDescent="0.3">
      <c r="A1049" s="253" t="s">
        <v>1403</v>
      </c>
      <c r="B1049" s="252" t="s">
        <v>1454</v>
      </c>
      <c r="C1049" s="252" t="s">
        <v>1455</v>
      </c>
      <c r="D1049" s="252" t="s">
        <v>49</v>
      </c>
      <c r="E1049" s="252" t="s">
        <v>46</v>
      </c>
      <c r="F1049" s="253" t="s">
        <v>316</v>
      </c>
      <c r="G1049" s="253" t="s">
        <v>22</v>
      </c>
      <c r="H1049" s="254">
        <v>198</v>
      </c>
      <c r="I1049" s="254">
        <v>203</v>
      </c>
      <c r="J1049" s="254">
        <v>239.49981</v>
      </c>
      <c r="K1049" s="254">
        <v>245.547785</v>
      </c>
      <c r="L1049" s="254">
        <v>-6.0479750000000081</v>
      </c>
      <c r="M1049" s="254">
        <v>-2.4630541871921214</v>
      </c>
    </row>
    <row r="1050" spans="1:13" ht="25.05" customHeight="1" x14ac:dyDescent="0.3">
      <c r="A1050" s="253" t="s">
        <v>1403</v>
      </c>
      <c r="B1050" s="252" t="s">
        <v>1343</v>
      </c>
      <c r="C1050" s="252" t="s">
        <v>1344</v>
      </c>
      <c r="D1050" s="252" t="s">
        <v>129</v>
      </c>
      <c r="E1050" s="252" t="s">
        <v>40</v>
      </c>
      <c r="F1050" s="253" t="s">
        <v>316</v>
      </c>
      <c r="G1050" s="253" t="s">
        <v>22</v>
      </c>
      <c r="H1050" s="254">
        <v>261</v>
      </c>
      <c r="I1050" s="254">
        <v>258</v>
      </c>
      <c r="J1050" s="254">
        <v>315.704295</v>
      </c>
      <c r="K1050" s="254">
        <v>312.07551000000001</v>
      </c>
      <c r="L1050" s="254">
        <v>3.6287849999999935</v>
      </c>
      <c r="M1050" s="254">
        <v>1.1627906976744165</v>
      </c>
    </row>
    <row r="1051" spans="1:13" ht="25.05" customHeight="1" x14ac:dyDescent="0.3">
      <c r="A1051" s="253" t="s">
        <v>1403</v>
      </c>
      <c r="B1051" s="252" t="s">
        <v>1456</v>
      </c>
      <c r="C1051" s="252" t="s">
        <v>1457</v>
      </c>
      <c r="D1051" s="252" t="s">
        <v>129</v>
      </c>
      <c r="E1051" s="252" t="s">
        <v>46</v>
      </c>
      <c r="F1051" s="253" t="s">
        <v>316</v>
      </c>
      <c r="G1051" s="253" t="s">
        <v>22</v>
      </c>
      <c r="H1051" s="254">
        <v>312</v>
      </c>
      <c r="I1051" s="254">
        <v>347</v>
      </c>
      <c r="J1051" s="254">
        <v>377.39364</v>
      </c>
      <c r="K1051" s="254">
        <v>419.729465</v>
      </c>
      <c r="L1051" s="254">
        <v>-42.335825</v>
      </c>
      <c r="M1051" s="254">
        <v>-10.086455331412104</v>
      </c>
    </row>
    <row r="1052" spans="1:13" ht="25.05" customHeight="1" x14ac:dyDescent="0.3">
      <c r="A1052" s="253" t="s">
        <v>1403</v>
      </c>
      <c r="B1052" s="252" t="s">
        <v>1458</v>
      </c>
      <c r="C1052" s="252">
        <v>0</v>
      </c>
      <c r="D1052" s="252">
        <v>0</v>
      </c>
      <c r="E1052" s="252" t="s">
        <v>20</v>
      </c>
      <c r="F1052" s="253" t="s">
        <v>316</v>
      </c>
      <c r="G1052" s="253" t="s">
        <v>22</v>
      </c>
      <c r="H1052" s="254">
        <v>932</v>
      </c>
      <c r="I1052" s="254">
        <v>1075</v>
      </c>
      <c r="J1052" s="254">
        <v>1127.3425399999999</v>
      </c>
      <c r="K1052" s="254">
        <v>1300.314625</v>
      </c>
      <c r="L1052" s="254">
        <v>-172.97208500000011</v>
      </c>
      <c r="M1052" s="254">
        <v>-13.302325581395358</v>
      </c>
    </row>
    <row r="1053" spans="1:13" ht="25.05" customHeight="1" x14ac:dyDescent="0.3">
      <c r="A1053" s="253" t="s">
        <v>1403</v>
      </c>
      <c r="B1053" s="252" t="s">
        <v>23</v>
      </c>
      <c r="C1053" s="252">
        <v>0</v>
      </c>
      <c r="D1053" s="252">
        <v>0</v>
      </c>
      <c r="E1053" s="252" t="s">
        <v>20</v>
      </c>
      <c r="F1053" s="253" t="s">
        <v>316</v>
      </c>
      <c r="G1053" s="253" t="s">
        <v>22</v>
      </c>
      <c r="H1053" s="254">
        <v>4367</v>
      </c>
      <c r="I1053" s="254">
        <v>29</v>
      </c>
      <c r="J1053" s="254">
        <v>5282.3013650000003</v>
      </c>
      <c r="K1053" s="254">
        <v>35.078254999999999</v>
      </c>
      <c r="L1053" s="254">
        <v>5247.2231099999999</v>
      </c>
      <c r="M1053" s="254">
        <v>14958.620689655172</v>
      </c>
    </row>
    <row r="1054" spans="1:13" ht="25.05" customHeight="1" x14ac:dyDescent="0.3">
      <c r="A1054" s="253" t="s">
        <v>1403</v>
      </c>
      <c r="B1054" s="252" t="s">
        <v>1459</v>
      </c>
      <c r="C1054" s="252">
        <v>0</v>
      </c>
      <c r="D1054" s="252">
        <v>0</v>
      </c>
      <c r="E1054" s="252" t="s">
        <v>20</v>
      </c>
      <c r="F1054" s="253" t="s">
        <v>316</v>
      </c>
      <c r="G1054" s="253" t="s">
        <v>22</v>
      </c>
      <c r="H1054" s="254">
        <v>10011</v>
      </c>
      <c r="I1054" s="254">
        <v>7797</v>
      </c>
      <c r="J1054" s="254">
        <v>12109.255545</v>
      </c>
      <c r="K1054" s="254">
        <v>9431.2122149999996</v>
      </c>
      <c r="L1054" s="254">
        <v>2678.0433300000004</v>
      </c>
      <c r="M1054" s="254">
        <v>28.395536744901889</v>
      </c>
    </row>
    <row r="1055" spans="1:13" ht="25.05" customHeight="1" x14ac:dyDescent="0.3">
      <c r="A1055" s="253" t="s">
        <v>1403</v>
      </c>
      <c r="B1055" s="252" t="s">
        <v>1460</v>
      </c>
      <c r="C1055" s="252" t="s">
        <v>239</v>
      </c>
      <c r="D1055" s="252" t="s">
        <v>239</v>
      </c>
      <c r="E1055" s="252" t="s">
        <v>239</v>
      </c>
      <c r="F1055" s="253" t="s">
        <v>316</v>
      </c>
      <c r="G1055" s="253" t="s">
        <v>22</v>
      </c>
      <c r="H1055" s="254">
        <v>2106</v>
      </c>
      <c r="I1055" s="254">
        <v>1946</v>
      </c>
      <c r="J1055" s="254">
        <v>2547.4070699999997</v>
      </c>
      <c r="K1055" s="254">
        <v>2353.8718699999999</v>
      </c>
      <c r="L1055" s="254">
        <v>193.5351999999998</v>
      </c>
      <c r="M1055" s="254">
        <v>8.2219938335046159</v>
      </c>
    </row>
    <row r="1056" spans="1:13" ht="25.05" customHeight="1" x14ac:dyDescent="0.3">
      <c r="A1056" s="253" t="s">
        <v>1403</v>
      </c>
      <c r="B1056" s="252" t="s">
        <v>1461</v>
      </c>
      <c r="C1056" s="252" t="s">
        <v>239</v>
      </c>
      <c r="D1056" s="252" t="s">
        <v>239</v>
      </c>
      <c r="E1056" s="252" t="s">
        <v>239</v>
      </c>
      <c r="F1056" s="253" t="s">
        <v>316</v>
      </c>
      <c r="G1056" s="253" t="s">
        <v>22</v>
      </c>
      <c r="H1056" s="254">
        <v>467</v>
      </c>
      <c r="I1056" s="254">
        <v>563</v>
      </c>
      <c r="J1056" s="254">
        <v>564.88086499999997</v>
      </c>
      <c r="K1056" s="254">
        <v>681.00198499999999</v>
      </c>
      <c r="L1056" s="254">
        <v>-116.12112000000002</v>
      </c>
      <c r="M1056" s="254">
        <v>-17.051509769094142</v>
      </c>
    </row>
    <row r="1057" spans="1:13" ht="25.05" customHeight="1" x14ac:dyDescent="0.3">
      <c r="A1057" s="253" t="s">
        <v>1403</v>
      </c>
      <c r="B1057" s="252" t="s">
        <v>1462</v>
      </c>
      <c r="C1057" s="252" t="s">
        <v>239</v>
      </c>
      <c r="D1057" s="252" t="s">
        <v>239</v>
      </c>
      <c r="E1057" s="252" t="s">
        <v>239</v>
      </c>
      <c r="F1057" s="253" t="s">
        <v>316</v>
      </c>
      <c r="G1057" s="253" t="s">
        <v>22</v>
      </c>
      <c r="H1057" s="254">
        <v>559</v>
      </c>
      <c r="I1057" s="254">
        <v>682</v>
      </c>
      <c r="J1057" s="254">
        <v>676.16360499999996</v>
      </c>
      <c r="K1057" s="254">
        <v>824.94379000000004</v>
      </c>
      <c r="L1057" s="254">
        <v>-148.78018500000007</v>
      </c>
      <c r="M1057" s="254">
        <v>-18.035190615835788</v>
      </c>
    </row>
    <row r="1058" spans="1:13" ht="25.05" customHeight="1" x14ac:dyDescent="0.3">
      <c r="A1058" s="253" t="s">
        <v>1403</v>
      </c>
      <c r="B1058" s="252" t="s">
        <v>1463</v>
      </c>
      <c r="C1058" s="252" t="s">
        <v>239</v>
      </c>
      <c r="D1058" s="252" t="s">
        <v>239</v>
      </c>
      <c r="E1058" s="252" t="s">
        <v>239</v>
      </c>
      <c r="F1058" s="253" t="s">
        <v>316</v>
      </c>
      <c r="G1058" s="253" t="s">
        <v>22</v>
      </c>
      <c r="H1058" s="254">
        <v>2472</v>
      </c>
      <c r="I1058" s="254">
        <v>1891</v>
      </c>
      <c r="J1058" s="254">
        <v>2990.1188400000001</v>
      </c>
      <c r="K1058" s="254">
        <v>2287.344145</v>
      </c>
      <c r="L1058" s="254">
        <v>702.77469500000007</v>
      </c>
      <c r="M1058" s="254">
        <v>30.724484399788476</v>
      </c>
    </row>
    <row r="1059" spans="1:13" ht="25.05" customHeight="1" x14ac:dyDescent="0.3">
      <c r="A1059" s="253" t="s">
        <v>1403</v>
      </c>
      <c r="B1059" s="252" t="s">
        <v>1464</v>
      </c>
      <c r="C1059" s="252" t="s">
        <v>239</v>
      </c>
      <c r="D1059" s="252" t="s">
        <v>239</v>
      </c>
      <c r="E1059" s="252" t="s">
        <v>239</v>
      </c>
      <c r="F1059" s="253" t="s">
        <v>316</v>
      </c>
      <c r="G1059" s="253" t="s">
        <v>22</v>
      </c>
      <c r="H1059" s="254">
        <v>301</v>
      </c>
      <c r="I1059" s="254">
        <v>539</v>
      </c>
      <c r="J1059" s="254">
        <v>364.08809500000001</v>
      </c>
      <c r="K1059" s="254">
        <v>651.97170500000004</v>
      </c>
      <c r="L1059" s="254">
        <v>-287.88361000000003</v>
      </c>
      <c r="M1059" s="254">
        <v>-44.155844155844157</v>
      </c>
    </row>
    <row r="1060" spans="1:13" ht="25.05" customHeight="1" x14ac:dyDescent="0.3">
      <c r="A1060" s="253" t="s">
        <v>1403</v>
      </c>
      <c r="B1060" s="252" t="s">
        <v>1465</v>
      </c>
      <c r="C1060" s="252">
        <v>0</v>
      </c>
      <c r="D1060" s="252" t="s">
        <v>239</v>
      </c>
      <c r="E1060" s="252" t="s">
        <v>239</v>
      </c>
      <c r="F1060" s="253" t="s">
        <v>316</v>
      </c>
      <c r="G1060" s="253" t="s">
        <v>22</v>
      </c>
      <c r="H1060" s="254">
        <v>5973</v>
      </c>
      <c r="I1060" s="254">
        <v>5731</v>
      </c>
      <c r="J1060" s="254">
        <v>7224.9109349999999</v>
      </c>
      <c r="K1060" s="254">
        <v>6932.1889449999999</v>
      </c>
      <c r="L1060" s="254">
        <v>292.72199000000001</v>
      </c>
      <c r="M1060" s="254">
        <v>4.2226487523992322</v>
      </c>
    </row>
    <row r="1061" spans="1:13" ht="25.05" customHeight="1" x14ac:dyDescent="0.3">
      <c r="A1061" s="253" t="s">
        <v>1403</v>
      </c>
      <c r="B1061" s="252" t="s">
        <v>1466</v>
      </c>
      <c r="C1061" s="252" t="s">
        <v>1467</v>
      </c>
      <c r="D1061" s="252" t="s">
        <v>221</v>
      </c>
      <c r="E1061" s="252" t="s">
        <v>46</v>
      </c>
      <c r="F1061" s="253" t="s">
        <v>316</v>
      </c>
      <c r="G1061" s="253" t="s">
        <v>22</v>
      </c>
      <c r="H1061" s="254">
        <v>413</v>
      </c>
      <c r="I1061" s="254">
        <v>436</v>
      </c>
      <c r="J1061" s="254">
        <v>499.56273499999998</v>
      </c>
      <c r="K1061" s="254">
        <v>527.38342</v>
      </c>
      <c r="L1061" s="254">
        <v>-27.820685000000026</v>
      </c>
      <c r="M1061" s="254">
        <v>-5.2752293577981701</v>
      </c>
    </row>
    <row r="1062" spans="1:13" ht="25.05" customHeight="1" x14ac:dyDescent="0.3">
      <c r="A1062" s="253" t="s">
        <v>1403</v>
      </c>
      <c r="B1062" s="252" t="s">
        <v>1468</v>
      </c>
      <c r="C1062" s="252" t="s">
        <v>1469</v>
      </c>
      <c r="D1062" s="252" t="s">
        <v>221</v>
      </c>
      <c r="E1062" s="252" t="s">
        <v>46</v>
      </c>
      <c r="F1062" s="253" t="s">
        <v>316</v>
      </c>
      <c r="G1062" s="253" t="s">
        <v>22</v>
      </c>
      <c r="H1062" s="254">
        <v>86</v>
      </c>
      <c r="I1062" s="254">
        <v>99</v>
      </c>
      <c r="J1062" s="254">
        <v>104.02517</v>
      </c>
      <c r="K1062" s="254">
        <v>119.749905</v>
      </c>
      <c r="L1062" s="254">
        <v>-15.724734999999995</v>
      </c>
      <c r="M1062" s="254">
        <v>-13.131313131313128</v>
      </c>
    </row>
    <row r="1063" spans="1:13" ht="25.05" customHeight="1" x14ac:dyDescent="0.3">
      <c r="A1063" s="253" t="s">
        <v>1403</v>
      </c>
      <c r="B1063" s="252" t="s">
        <v>1470</v>
      </c>
      <c r="C1063" s="252" t="s">
        <v>1471</v>
      </c>
      <c r="D1063" s="252" t="s">
        <v>43</v>
      </c>
      <c r="E1063" s="252" t="s">
        <v>46</v>
      </c>
      <c r="F1063" s="253" t="s">
        <v>316</v>
      </c>
      <c r="G1063" s="253" t="s">
        <v>22</v>
      </c>
      <c r="H1063" s="254">
        <v>-7</v>
      </c>
      <c r="I1063" s="254">
        <v>51</v>
      </c>
      <c r="J1063" s="254">
        <v>-8.4671649999999996</v>
      </c>
      <c r="K1063" s="254">
        <v>61.689344999999996</v>
      </c>
      <c r="L1063" s="254">
        <v>-70.156509999999997</v>
      </c>
      <c r="M1063" s="254">
        <v>-113.72549019607843</v>
      </c>
    </row>
    <row r="1064" spans="1:13" ht="25.05" customHeight="1" x14ac:dyDescent="0.3">
      <c r="A1064" s="253" t="s">
        <v>1403</v>
      </c>
      <c r="B1064" s="252" t="s">
        <v>1472</v>
      </c>
      <c r="C1064" s="252">
        <v>0</v>
      </c>
      <c r="D1064" s="252">
        <v>0</v>
      </c>
      <c r="E1064" s="252" t="s">
        <v>20</v>
      </c>
      <c r="F1064" s="253" t="s">
        <v>316</v>
      </c>
      <c r="G1064" s="253" t="s">
        <v>22</v>
      </c>
      <c r="H1064" s="254">
        <v>1096</v>
      </c>
      <c r="I1064" s="254">
        <v>1179</v>
      </c>
      <c r="J1064" s="254">
        <v>1325.71612</v>
      </c>
      <c r="K1064" s="254">
        <v>1426.1125050000001</v>
      </c>
      <c r="L1064" s="254">
        <v>-100.39638500000001</v>
      </c>
      <c r="M1064" s="254">
        <v>-7.0398642917726892</v>
      </c>
    </row>
    <row r="1065" spans="1:13" ht="25.05" customHeight="1" x14ac:dyDescent="0.3">
      <c r="A1065" s="253" t="s">
        <v>1403</v>
      </c>
      <c r="B1065" s="252" t="s">
        <v>1473</v>
      </c>
      <c r="C1065" s="252" t="s">
        <v>962</v>
      </c>
      <c r="D1065" s="252" t="s">
        <v>89</v>
      </c>
      <c r="E1065" s="252" t="s">
        <v>46</v>
      </c>
      <c r="F1065" s="253" t="s">
        <v>316</v>
      </c>
      <c r="G1065" s="253" t="s">
        <v>22</v>
      </c>
      <c r="H1065" s="254">
        <v>325</v>
      </c>
      <c r="I1065" s="254">
        <v>324</v>
      </c>
      <c r="J1065" s="254">
        <v>393.11837500000001</v>
      </c>
      <c r="K1065" s="254">
        <v>391.90877999999998</v>
      </c>
      <c r="L1065" s="254">
        <v>1.2095950000000357</v>
      </c>
      <c r="M1065" s="254">
        <v>0.30864197530865112</v>
      </c>
    </row>
    <row r="1066" spans="1:13" ht="25.05" customHeight="1" x14ac:dyDescent="0.3">
      <c r="A1066" s="253" t="s">
        <v>1403</v>
      </c>
      <c r="B1066" s="252" t="s">
        <v>1474</v>
      </c>
      <c r="C1066" s="252" t="s">
        <v>1475</v>
      </c>
      <c r="D1066" s="252" t="s">
        <v>89</v>
      </c>
      <c r="E1066" s="252" t="s">
        <v>46</v>
      </c>
      <c r="F1066" s="253" t="s">
        <v>316</v>
      </c>
      <c r="G1066" s="253" t="s">
        <v>22</v>
      </c>
      <c r="H1066" s="254">
        <v>177</v>
      </c>
      <c r="I1066" s="254">
        <v>189</v>
      </c>
      <c r="J1066" s="254">
        <v>214.09831499999999</v>
      </c>
      <c r="K1066" s="254">
        <v>228.61345499999999</v>
      </c>
      <c r="L1066" s="254">
        <v>-14.515140000000002</v>
      </c>
      <c r="M1066" s="254">
        <v>-6.3492063492063506</v>
      </c>
    </row>
    <row r="1067" spans="1:13" ht="25.05" customHeight="1" x14ac:dyDescent="0.3">
      <c r="A1067" s="253" t="s">
        <v>1403</v>
      </c>
      <c r="B1067" s="252" t="s">
        <v>1476</v>
      </c>
      <c r="C1067" s="252">
        <v>0</v>
      </c>
      <c r="D1067" s="252">
        <v>0</v>
      </c>
      <c r="E1067" s="252" t="s">
        <v>20</v>
      </c>
      <c r="F1067" s="253" t="s">
        <v>316</v>
      </c>
      <c r="G1067" s="253" t="s">
        <v>22</v>
      </c>
      <c r="H1067" s="254">
        <v>1225</v>
      </c>
      <c r="I1067" s="254">
        <v>818</v>
      </c>
      <c r="J1067" s="254">
        <v>1481.7538749999999</v>
      </c>
      <c r="K1067" s="254">
        <v>989.44871000000001</v>
      </c>
      <c r="L1067" s="254">
        <v>492.30516499999987</v>
      </c>
      <c r="M1067" s="254">
        <v>49.755501222493876</v>
      </c>
    </row>
    <row r="1068" spans="1:13" ht="25.05" customHeight="1" x14ac:dyDescent="0.3">
      <c r="A1068" s="253" t="s">
        <v>1403</v>
      </c>
      <c r="B1068" s="252" t="s">
        <v>1477</v>
      </c>
      <c r="C1068" s="252" t="s">
        <v>1478</v>
      </c>
      <c r="D1068" s="252" t="s">
        <v>97</v>
      </c>
      <c r="E1068" s="252" t="s">
        <v>46</v>
      </c>
      <c r="F1068" s="253" t="s">
        <v>316</v>
      </c>
      <c r="G1068" s="253" t="s">
        <v>22</v>
      </c>
      <c r="H1068" s="254">
        <v>235</v>
      </c>
      <c r="I1068" s="254">
        <v>225</v>
      </c>
      <c r="J1068" s="254">
        <v>284.25482499999998</v>
      </c>
      <c r="K1068" s="254">
        <v>272.15887499999997</v>
      </c>
      <c r="L1068" s="254">
        <v>12.095950000000016</v>
      </c>
      <c r="M1068" s="254">
        <v>4.4444444444444509</v>
      </c>
    </row>
    <row r="1069" spans="1:13" ht="25.05" customHeight="1" x14ac:dyDescent="0.3">
      <c r="A1069" s="253" t="s">
        <v>1403</v>
      </c>
      <c r="B1069" s="252" t="s">
        <v>1479</v>
      </c>
      <c r="C1069" s="252" t="s">
        <v>1480</v>
      </c>
      <c r="D1069" s="252" t="s">
        <v>97</v>
      </c>
      <c r="E1069" s="252" t="s">
        <v>40</v>
      </c>
      <c r="F1069" s="253" t="s">
        <v>316</v>
      </c>
      <c r="G1069" s="253" t="s">
        <v>22</v>
      </c>
      <c r="H1069" s="254">
        <v>180</v>
      </c>
      <c r="I1069" s="254">
        <v>222</v>
      </c>
      <c r="J1069" s="254">
        <v>217.72710000000001</v>
      </c>
      <c r="K1069" s="254">
        <v>268.53008999999997</v>
      </c>
      <c r="L1069" s="254">
        <v>-50.802989999999966</v>
      </c>
      <c r="M1069" s="254">
        <v>-18.918918918918909</v>
      </c>
    </row>
    <row r="1070" spans="1:13" ht="25.05" customHeight="1" x14ac:dyDescent="0.3">
      <c r="A1070" s="253" t="s">
        <v>1403</v>
      </c>
      <c r="B1070" s="252" t="s">
        <v>1481</v>
      </c>
      <c r="C1070" s="252" t="s">
        <v>1482</v>
      </c>
      <c r="D1070" s="252" t="s">
        <v>97</v>
      </c>
      <c r="E1070" s="252" t="s">
        <v>46</v>
      </c>
      <c r="F1070" s="253" t="s">
        <v>316</v>
      </c>
      <c r="G1070" s="253" t="s">
        <v>22</v>
      </c>
      <c r="H1070" s="254">
        <v>198</v>
      </c>
      <c r="I1070" s="254">
        <v>190</v>
      </c>
      <c r="J1070" s="254">
        <v>239.49981</v>
      </c>
      <c r="K1070" s="254">
        <v>229.82304999999999</v>
      </c>
      <c r="L1070" s="254">
        <v>9.6767600000000016</v>
      </c>
      <c r="M1070" s="254">
        <v>4.2105263157894743</v>
      </c>
    </row>
    <row r="1071" spans="1:13" ht="25.05" customHeight="1" x14ac:dyDescent="0.3">
      <c r="A1071" s="253" t="s">
        <v>1403</v>
      </c>
      <c r="B1071" s="252" t="s">
        <v>1483</v>
      </c>
      <c r="C1071" s="252" t="s">
        <v>1484</v>
      </c>
      <c r="D1071" s="252" t="s">
        <v>97</v>
      </c>
      <c r="E1071" s="252" t="s">
        <v>46</v>
      </c>
      <c r="F1071" s="253" t="s">
        <v>316</v>
      </c>
      <c r="G1071" s="253" t="s">
        <v>22</v>
      </c>
      <c r="H1071" s="254">
        <v>-7</v>
      </c>
      <c r="I1071" s="254">
        <v>78</v>
      </c>
      <c r="J1071" s="254">
        <v>-8.4671649999999996</v>
      </c>
      <c r="K1071" s="254">
        <v>94.348410000000001</v>
      </c>
      <c r="L1071" s="254">
        <v>-102.815575</v>
      </c>
      <c r="M1071" s="254">
        <v>-108.97435897435896</v>
      </c>
    </row>
    <row r="1072" spans="1:13" ht="25.05" customHeight="1" x14ac:dyDescent="0.3">
      <c r="A1072" s="253" t="s">
        <v>1403</v>
      </c>
      <c r="B1072" s="252" t="s">
        <v>1485</v>
      </c>
      <c r="C1072" s="252">
        <v>0</v>
      </c>
      <c r="D1072" s="252" t="s">
        <v>97</v>
      </c>
      <c r="E1072" s="252" t="s">
        <v>20</v>
      </c>
      <c r="F1072" s="253" t="s">
        <v>316</v>
      </c>
      <c r="G1072" s="253" t="s">
        <v>22</v>
      </c>
      <c r="H1072" s="254">
        <v>858</v>
      </c>
      <c r="I1072" s="254">
        <v>1004</v>
      </c>
      <c r="J1072" s="254">
        <v>1037.83251</v>
      </c>
      <c r="K1072" s="254">
        <v>1214.4333799999999</v>
      </c>
      <c r="L1072" s="254">
        <v>-176.60086999999999</v>
      </c>
      <c r="M1072" s="254">
        <v>-14.541832669322707</v>
      </c>
    </row>
    <row r="1073" spans="1:13" ht="25.05" customHeight="1" x14ac:dyDescent="0.3">
      <c r="A1073" s="253" t="s">
        <v>1403</v>
      </c>
      <c r="B1073" s="252" t="s">
        <v>303</v>
      </c>
      <c r="C1073" s="252">
        <v>0</v>
      </c>
      <c r="D1073" s="252" t="s">
        <v>303</v>
      </c>
      <c r="E1073" s="252" t="s">
        <v>20</v>
      </c>
      <c r="F1073" s="253" t="s">
        <v>316</v>
      </c>
      <c r="G1073" s="253" t="s">
        <v>22</v>
      </c>
      <c r="H1073" s="254">
        <v>611</v>
      </c>
      <c r="I1073" s="254">
        <v>657</v>
      </c>
      <c r="J1073" s="254">
        <v>739.062545</v>
      </c>
      <c r="K1073" s="254">
        <v>794.70391499999994</v>
      </c>
      <c r="L1073" s="254">
        <v>-55.641369999999938</v>
      </c>
      <c r="M1073" s="254">
        <v>-7.0015220700152137</v>
      </c>
    </row>
    <row r="1074" spans="1:13" ht="25.05" customHeight="1" x14ac:dyDescent="0.3">
      <c r="A1074" s="253" t="s">
        <v>1403</v>
      </c>
      <c r="B1074" s="252" t="s">
        <v>1486</v>
      </c>
      <c r="C1074" s="252">
        <v>0</v>
      </c>
      <c r="D1074" s="252" t="s">
        <v>303</v>
      </c>
      <c r="E1074" s="252" t="s">
        <v>20</v>
      </c>
      <c r="F1074" s="253" t="s">
        <v>316</v>
      </c>
      <c r="G1074" s="253" t="s">
        <v>22</v>
      </c>
      <c r="H1074" s="254">
        <v>201</v>
      </c>
      <c r="I1074" s="254">
        <v>213</v>
      </c>
      <c r="J1074" s="254">
        <v>243.12859499999999</v>
      </c>
      <c r="K1074" s="254">
        <v>257.64373499999999</v>
      </c>
      <c r="L1074" s="254">
        <v>-14.515140000000002</v>
      </c>
      <c r="M1074" s="254">
        <v>-5.6338028169014089</v>
      </c>
    </row>
    <row r="1075" spans="1:13" ht="25.05" customHeight="1" x14ac:dyDescent="0.3">
      <c r="A1075" s="253" t="s">
        <v>1403</v>
      </c>
      <c r="B1075" s="252" t="s">
        <v>1487</v>
      </c>
      <c r="C1075" s="252">
        <v>0</v>
      </c>
      <c r="D1075" s="252">
        <v>0</v>
      </c>
      <c r="E1075" s="252" t="s">
        <v>20</v>
      </c>
      <c r="F1075" s="253" t="s">
        <v>316</v>
      </c>
      <c r="G1075" s="253" t="s">
        <v>22</v>
      </c>
      <c r="H1075" s="254">
        <v>604</v>
      </c>
      <c r="I1075" s="254">
        <v>588</v>
      </c>
      <c r="J1075" s="254">
        <v>730.59537999999998</v>
      </c>
      <c r="K1075" s="254">
        <v>711.24185999999997</v>
      </c>
      <c r="L1075" s="254">
        <v>19.353520000000003</v>
      </c>
      <c r="M1075" s="254">
        <v>2.7210884353741505</v>
      </c>
    </row>
    <row r="1076" spans="1:13" ht="25.05" customHeight="1" x14ac:dyDescent="0.3">
      <c r="A1076" s="253" t="s">
        <v>1403</v>
      </c>
      <c r="B1076" s="252" t="s">
        <v>1488</v>
      </c>
      <c r="C1076" s="252">
        <v>0</v>
      </c>
      <c r="D1076" s="252">
        <v>0</v>
      </c>
      <c r="E1076" s="252" t="s">
        <v>20</v>
      </c>
      <c r="F1076" s="253" t="s">
        <v>316</v>
      </c>
      <c r="G1076" s="253" t="s">
        <v>22</v>
      </c>
      <c r="H1076" s="254">
        <v>4394</v>
      </c>
      <c r="I1076" s="254">
        <v>4687</v>
      </c>
      <c r="J1076" s="254">
        <v>5314.9604300000001</v>
      </c>
      <c r="K1076" s="254">
        <v>5669.3717649999999</v>
      </c>
      <c r="L1076" s="254">
        <v>-354.41133499999978</v>
      </c>
      <c r="M1076" s="254">
        <v>-6.2513334755707239</v>
      </c>
    </row>
    <row r="1077" spans="1:13" ht="25.05" customHeight="1" x14ac:dyDescent="0.3">
      <c r="A1077" s="267" t="s">
        <v>1403</v>
      </c>
      <c r="B1077" s="268" t="s">
        <v>1489</v>
      </c>
      <c r="C1077" s="268">
        <v>0</v>
      </c>
      <c r="D1077" s="268">
        <v>0</v>
      </c>
      <c r="E1077" s="268" t="s">
        <v>20</v>
      </c>
      <c r="F1077" s="267" t="s">
        <v>316</v>
      </c>
      <c r="G1077" s="267" t="s">
        <v>22</v>
      </c>
      <c r="H1077" s="269">
        <v>36041</v>
      </c>
      <c r="I1077" s="269">
        <v>36126</v>
      </c>
      <c r="J1077" s="269">
        <v>43595.013395000002</v>
      </c>
      <c r="K1077" s="269">
        <v>43697.828970000002</v>
      </c>
      <c r="L1077" s="269">
        <v>-102.81557500000054</v>
      </c>
      <c r="M1077" s="269">
        <v>-0.2352876044953785</v>
      </c>
    </row>
    <row r="1078" spans="1:13" ht="25.05" customHeight="1" x14ac:dyDescent="0.3">
      <c r="A1078" s="253" t="s">
        <v>1490</v>
      </c>
      <c r="B1078" s="252" t="s">
        <v>1801</v>
      </c>
      <c r="C1078" s="252">
        <v>0</v>
      </c>
      <c r="D1078" s="252">
        <v>0</v>
      </c>
      <c r="E1078" s="252" t="s">
        <v>20</v>
      </c>
      <c r="F1078" s="253" t="s">
        <v>250</v>
      </c>
      <c r="G1078" s="253" t="s">
        <v>251</v>
      </c>
      <c r="H1078" s="254">
        <v>98.4</v>
      </c>
      <c r="I1078" s="254">
        <v>122.4</v>
      </c>
      <c r="J1078" s="254">
        <v>933.71759999999995</v>
      </c>
      <c r="K1078" s="254">
        <v>1161.4535999999998</v>
      </c>
      <c r="L1078" s="254">
        <v>-227.73599999999988</v>
      </c>
      <c r="M1078" s="254">
        <v>-19.607843137254893</v>
      </c>
    </row>
    <row r="1079" spans="1:13" ht="25.05" customHeight="1" x14ac:dyDescent="0.3">
      <c r="A1079" s="253" t="s">
        <v>1490</v>
      </c>
      <c r="B1079" s="252" t="s">
        <v>627</v>
      </c>
      <c r="C1079" s="252" t="s">
        <v>628</v>
      </c>
      <c r="D1079" s="252" t="s">
        <v>62</v>
      </c>
      <c r="E1079" s="252" t="s">
        <v>46</v>
      </c>
      <c r="F1079" s="253" t="s">
        <v>250</v>
      </c>
      <c r="G1079" s="253" t="s">
        <v>251</v>
      </c>
      <c r="H1079" s="254">
        <v>26.5</v>
      </c>
      <c r="I1079" s="254">
        <v>25.7</v>
      </c>
      <c r="J1079" s="254">
        <v>251.45849999999999</v>
      </c>
      <c r="K1079" s="254">
        <v>243.86729999999997</v>
      </c>
      <c r="L1079" s="254">
        <v>7.5912000000000148</v>
      </c>
      <c r="M1079" s="254">
        <v>3.1128404669260763</v>
      </c>
    </row>
    <row r="1080" spans="1:13" ht="25.05" customHeight="1" x14ac:dyDescent="0.3">
      <c r="A1080" s="253" t="s">
        <v>1490</v>
      </c>
      <c r="B1080" s="252" t="s">
        <v>1491</v>
      </c>
      <c r="C1080" s="252" t="s">
        <v>1492</v>
      </c>
      <c r="D1080" s="252" t="s">
        <v>62</v>
      </c>
      <c r="E1080" s="252" t="s">
        <v>46</v>
      </c>
      <c r="F1080" s="253" t="s">
        <v>250</v>
      </c>
      <c r="G1080" s="253" t="s">
        <v>251</v>
      </c>
      <c r="H1080" s="254">
        <v>13.2</v>
      </c>
      <c r="I1080" s="254">
        <v>8.5</v>
      </c>
      <c r="J1080" s="254">
        <v>125.25479999999999</v>
      </c>
      <c r="K1080" s="254">
        <v>80.656499999999994</v>
      </c>
      <c r="L1080" s="254">
        <v>44.598299999999995</v>
      </c>
      <c r="M1080" s="254">
        <v>55.294117647058819</v>
      </c>
    </row>
    <row r="1081" spans="1:13" ht="25.05" customHeight="1" x14ac:dyDescent="0.3">
      <c r="A1081" s="253" t="s">
        <v>1490</v>
      </c>
      <c r="B1081" s="252" t="s">
        <v>1493</v>
      </c>
      <c r="C1081" s="252" t="s">
        <v>1494</v>
      </c>
      <c r="D1081" s="252" t="s">
        <v>62</v>
      </c>
      <c r="E1081" s="252" t="s">
        <v>46</v>
      </c>
      <c r="F1081" s="253" t="s">
        <v>250</v>
      </c>
      <c r="G1081" s="253" t="s">
        <v>251</v>
      </c>
      <c r="H1081" s="254">
        <v>0.2</v>
      </c>
      <c r="I1081" s="254">
        <v>0</v>
      </c>
      <c r="J1081" s="254">
        <v>1.8977999999999999</v>
      </c>
      <c r="K1081" s="254">
        <v>0</v>
      </c>
      <c r="L1081" s="254">
        <v>1.8977999999999999</v>
      </c>
      <c r="M1081" s="254" t="s">
        <v>1495</v>
      </c>
    </row>
    <row r="1082" spans="1:13" ht="25.05" customHeight="1" x14ac:dyDescent="0.3">
      <c r="A1082" s="253" t="s">
        <v>1490</v>
      </c>
      <c r="B1082" s="252" t="s">
        <v>1496</v>
      </c>
      <c r="C1082" s="252">
        <v>0</v>
      </c>
      <c r="D1082" s="252" t="s">
        <v>89</v>
      </c>
      <c r="E1082" s="252" t="s">
        <v>20</v>
      </c>
      <c r="F1082" s="253" t="s">
        <v>250</v>
      </c>
      <c r="G1082" s="253" t="s">
        <v>251</v>
      </c>
      <c r="H1082" s="254">
        <v>7.6</v>
      </c>
      <c r="I1082" s="254">
        <v>21</v>
      </c>
      <c r="J1082" s="254">
        <v>72.116399999999999</v>
      </c>
      <c r="K1082" s="254">
        <v>199.26899999999998</v>
      </c>
      <c r="L1082" s="254">
        <v>-127.15259999999998</v>
      </c>
      <c r="M1082" s="254">
        <v>-63.809523809523803</v>
      </c>
    </row>
    <row r="1083" spans="1:13" ht="25.05" customHeight="1" x14ac:dyDescent="0.3">
      <c r="A1083" s="253" t="s">
        <v>1490</v>
      </c>
      <c r="B1083" s="252" t="s">
        <v>1497</v>
      </c>
      <c r="C1083" s="252" t="s">
        <v>971</v>
      </c>
      <c r="D1083" s="252" t="s">
        <v>89</v>
      </c>
      <c r="E1083" s="252" t="s">
        <v>46</v>
      </c>
      <c r="F1083" s="253" t="s">
        <v>250</v>
      </c>
      <c r="G1083" s="253" t="s">
        <v>251</v>
      </c>
      <c r="H1083" s="254">
        <v>5.3</v>
      </c>
      <c r="I1083" s="254">
        <v>6.4</v>
      </c>
      <c r="J1083" s="254">
        <v>50.291699999999999</v>
      </c>
      <c r="K1083" s="254">
        <v>60.729599999999998</v>
      </c>
      <c r="L1083" s="254">
        <v>-10.437899999999999</v>
      </c>
      <c r="M1083" s="254">
        <v>-17.1875</v>
      </c>
    </row>
    <row r="1084" spans="1:13" ht="25.05" customHeight="1" x14ac:dyDescent="0.3">
      <c r="A1084" s="253" t="s">
        <v>1490</v>
      </c>
      <c r="B1084" s="252" t="s">
        <v>1498</v>
      </c>
      <c r="C1084" s="252" t="s">
        <v>1499</v>
      </c>
      <c r="D1084" s="252" t="s">
        <v>89</v>
      </c>
      <c r="E1084" s="252" t="s">
        <v>46</v>
      </c>
      <c r="F1084" s="253" t="s">
        <v>250</v>
      </c>
      <c r="G1084" s="253" t="s">
        <v>251</v>
      </c>
      <c r="H1084" s="254">
        <v>2.2999999999999998</v>
      </c>
      <c r="I1084" s="254">
        <v>2</v>
      </c>
      <c r="J1084" s="254">
        <v>21.824699999999996</v>
      </c>
      <c r="K1084" s="254">
        <v>18.977999999999998</v>
      </c>
      <c r="L1084" s="254">
        <v>2.8466999999999985</v>
      </c>
      <c r="M1084" s="254">
        <v>14.999999999999995</v>
      </c>
    </row>
    <row r="1085" spans="1:13" ht="25.05" customHeight="1" x14ac:dyDescent="0.3">
      <c r="A1085" s="253" t="s">
        <v>1490</v>
      </c>
      <c r="B1085" s="252" t="s">
        <v>1500</v>
      </c>
      <c r="C1085" s="252" t="s">
        <v>1501</v>
      </c>
      <c r="D1085" s="252" t="s">
        <v>43</v>
      </c>
      <c r="E1085" s="252" t="s">
        <v>40</v>
      </c>
      <c r="F1085" s="253" t="s">
        <v>250</v>
      </c>
      <c r="G1085" s="253" t="s">
        <v>251</v>
      </c>
      <c r="H1085" s="254">
        <v>0.30000000000000004</v>
      </c>
      <c r="I1085" s="254">
        <v>0.2</v>
      </c>
      <c r="J1085" s="254">
        <v>2.8467000000000002</v>
      </c>
      <c r="K1085" s="254">
        <v>1.8977999999999999</v>
      </c>
      <c r="L1085" s="254">
        <v>0.9489000000000003</v>
      </c>
      <c r="M1085" s="254">
        <v>50.000000000000021</v>
      </c>
    </row>
    <row r="1086" spans="1:13" ht="25.05" customHeight="1" x14ac:dyDescent="0.3">
      <c r="A1086" s="253" t="s">
        <v>1490</v>
      </c>
      <c r="B1086" s="252" t="s">
        <v>1502</v>
      </c>
      <c r="C1086" s="252" t="s">
        <v>1503</v>
      </c>
      <c r="D1086" s="252" t="s">
        <v>113</v>
      </c>
      <c r="E1086" s="252" t="s">
        <v>46</v>
      </c>
      <c r="F1086" s="253" t="s">
        <v>250</v>
      </c>
      <c r="G1086" s="253" t="s">
        <v>251</v>
      </c>
      <c r="H1086" s="254">
        <v>0.1</v>
      </c>
      <c r="I1086" s="254">
        <v>0.1</v>
      </c>
      <c r="J1086" s="254">
        <v>0.94889999999999997</v>
      </c>
      <c r="K1086" s="254">
        <v>0.94889999999999997</v>
      </c>
      <c r="L1086" s="254">
        <v>0</v>
      </c>
      <c r="M1086" s="254">
        <v>0</v>
      </c>
    </row>
    <row r="1087" spans="1:13" ht="25.05" customHeight="1" x14ac:dyDescent="0.3">
      <c r="A1087" s="253" t="s">
        <v>1490</v>
      </c>
      <c r="B1087" s="252" t="s">
        <v>1504</v>
      </c>
      <c r="C1087" s="252" t="s">
        <v>1378</v>
      </c>
      <c r="D1087" s="252" t="s">
        <v>221</v>
      </c>
      <c r="E1087" s="252" t="s">
        <v>46</v>
      </c>
      <c r="F1087" s="253" t="s">
        <v>250</v>
      </c>
      <c r="G1087" s="253" t="s">
        <v>251</v>
      </c>
      <c r="H1087" s="254">
        <v>5.8</v>
      </c>
      <c r="I1087" s="254">
        <v>6.2</v>
      </c>
      <c r="J1087" s="254">
        <v>55.036199999999994</v>
      </c>
      <c r="K1087" s="254">
        <v>58.831799999999994</v>
      </c>
      <c r="L1087" s="254">
        <v>-3.7956000000000003</v>
      </c>
      <c r="M1087" s="254">
        <v>-6.4516129032258078</v>
      </c>
    </row>
    <row r="1088" spans="1:13" ht="25.05" customHeight="1" x14ac:dyDescent="0.3">
      <c r="A1088" s="253" t="s">
        <v>1490</v>
      </c>
      <c r="B1088" s="252" t="s">
        <v>23</v>
      </c>
      <c r="C1088" s="252">
        <v>0</v>
      </c>
      <c r="D1088" s="252">
        <v>0</v>
      </c>
      <c r="E1088" s="252" t="s">
        <v>20</v>
      </c>
      <c r="F1088" s="253" t="s">
        <v>250</v>
      </c>
      <c r="G1088" s="253" t="s">
        <v>251</v>
      </c>
      <c r="H1088" s="254">
        <v>23.9</v>
      </c>
      <c r="I1088" s="254">
        <v>41</v>
      </c>
      <c r="J1088" s="254">
        <v>226.78709999999998</v>
      </c>
      <c r="K1088" s="254">
        <v>389.04899999999998</v>
      </c>
      <c r="L1088" s="254">
        <v>-162.2619</v>
      </c>
      <c r="M1088" s="254">
        <v>-41.707317073170735</v>
      </c>
    </row>
    <row r="1089" spans="1:13" ht="25.05" customHeight="1" x14ac:dyDescent="0.3">
      <c r="A1089" s="253" t="s">
        <v>1490</v>
      </c>
      <c r="B1089" s="252" t="s">
        <v>212</v>
      </c>
      <c r="C1089" s="252" t="s">
        <v>213</v>
      </c>
      <c r="D1089" s="252" t="s">
        <v>129</v>
      </c>
      <c r="E1089" s="252" t="s">
        <v>46</v>
      </c>
      <c r="F1089" s="253" t="s">
        <v>250</v>
      </c>
      <c r="G1089" s="253" t="s">
        <v>251</v>
      </c>
      <c r="H1089" s="254">
        <v>7.1999999999999993</v>
      </c>
      <c r="I1089" s="254">
        <v>8.8000000000000007</v>
      </c>
      <c r="J1089" s="254">
        <v>68.320799999999991</v>
      </c>
      <c r="K1089" s="254">
        <v>83.503199999999993</v>
      </c>
      <c r="L1089" s="254">
        <v>-15.182400000000001</v>
      </c>
      <c r="M1089" s="254">
        <v>-18.181818181818183</v>
      </c>
    </row>
    <row r="1090" spans="1:13" ht="25.05" customHeight="1" x14ac:dyDescent="0.3">
      <c r="A1090" s="253" t="s">
        <v>1490</v>
      </c>
      <c r="B1090" s="252" t="s">
        <v>1505</v>
      </c>
      <c r="C1090" s="252" t="s">
        <v>1506</v>
      </c>
      <c r="D1090" s="252" t="s">
        <v>129</v>
      </c>
      <c r="E1090" s="252" t="s">
        <v>46</v>
      </c>
      <c r="F1090" s="253" t="s">
        <v>250</v>
      </c>
      <c r="G1090" s="253" t="s">
        <v>251</v>
      </c>
      <c r="H1090" s="254">
        <v>3.6</v>
      </c>
      <c r="I1090" s="254">
        <v>4.3</v>
      </c>
      <c r="J1090" s="254">
        <v>34.160399999999996</v>
      </c>
      <c r="K1090" s="254">
        <v>40.802699999999994</v>
      </c>
      <c r="L1090" s="254">
        <v>-6.6422999999999988</v>
      </c>
      <c r="M1090" s="254">
        <v>-16.279069767441857</v>
      </c>
    </row>
    <row r="1091" spans="1:13" ht="25.05" customHeight="1" x14ac:dyDescent="0.3">
      <c r="A1091" s="253" t="s">
        <v>1490</v>
      </c>
      <c r="B1091" s="252" t="s">
        <v>1507</v>
      </c>
      <c r="C1091" s="252">
        <v>0</v>
      </c>
      <c r="D1091" s="252">
        <v>0</v>
      </c>
      <c r="E1091" s="252" t="s">
        <v>20</v>
      </c>
      <c r="F1091" s="253" t="s">
        <v>250</v>
      </c>
      <c r="G1091" s="253" t="s">
        <v>251</v>
      </c>
      <c r="H1091" s="254">
        <v>24.3</v>
      </c>
      <c r="I1091" s="254">
        <v>31.3</v>
      </c>
      <c r="J1091" s="254">
        <v>230.58269999999999</v>
      </c>
      <c r="K1091" s="254">
        <v>297.00569999999999</v>
      </c>
      <c r="L1091" s="254">
        <v>-66.423000000000002</v>
      </c>
      <c r="M1091" s="254">
        <v>-22.364217252396166</v>
      </c>
    </row>
    <row r="1092" spans="1:13" ht="25.05" customHeight="1" x14ac:dyDescent="0.3">
      <c r="A1092" s="253" t="s">
        <v>1490</v>
      </c>
      <c r="B1092" s="252" t="s">
        <v>1508</v>
      </c>
      <c r="C1092" s="252">
        <v>0</v>
      </c>
      <c r="D1092" s="252">
        <v>0</v>
      </c>
      <c r="E1092" s="252" t="s">
        <v>20</v>
      </c>
      <c r="F1092" s="253" t="s">
        <v>250</v>
      </c>
      <c r="G1092" s="253" t="s">
        <v>251</v>
      </c>
      <c r="H1092" s="254">
        <v>7</v>
      </c>
      <c r="I1092" s="254">
        <v>10.9</v>
      </c>
      <c r="J1092" s="254">
        <v>66.422999999999988</v>
      </c>
      <c r="K1092" s="254">
        <v>103.4301</v>
      </c>
      <c r="L1092" s="254">
        <v>-37.007100000000008</v>
      </c>
      <c r="M1092" s="254">
        <v>-35.779816513761475</v>
      </c>
    </row>
    <row r="1093" spans="1:13" ht="25.05" customHeight="1" x14ac:dyDescent="0.3">
      <c r="A1093" s="253" t="s">
        <v>1490</v>
      </c>
      <c r="B1093" s="252" t="s">
        <v>1509</v>
      </c>
      <c r="C1093" s="252">
        <v>0</v>
      </c>
      <c r="D1093" s="252">
        <v>0</v>
      </c>
      <c r="E1093" s="252" t="s">
        <v>20</v>
      </c>
      <c r="F1093" s="253" t="s">
        <v>250</v>
      </c>
      <c r="G1093" s="253" t="s">
        <v>251</v>
      </c>
      <c r="H1093" s="254">
        <v>9.8000000000000007</v>
      </c>
      <c r="I1093" s="254">
        <v>13.5</v>
      </c>
      <c r="J1093" s="254">
        <v>92.992199999999997</v>
      </c>
      <c r="K1093" s="254">
        <v>128.10149999999999</v>
      </c>
      <c r="L1093" s="254">
        <v>-35.10929999999999</v>
      </c>
      <c r="M1093" s="254">
        <v>-27.407407407407401</v>
      </c>
    </row>
    <row r="1094" spans="1:13" ht="25.05" customHeight="1" x14ac:dyDescent="0.3">
      <c r="A1094" s="253" t="s">
        <v>1490</v>
      </c>
      <c r="B1094" s="252" t="s">
        <v>1510</v>
      </c>
      <c r="C1094" s="252">
        <v>0</v>
      </c>
      <c r="D1094" s="252">
        <v>0</v>
      </c>
      <c r="E1094" s="252" t="s">
        <v>20</v>
      </c>
      <c r="F1094" s="253" t="s">
        <v>250</v>
      </c>
      <c r="G1094" s="253" t="s">
        <v>251</v>
      </c>
      <c r="H1094" s="254">
        <v>15.9</v>
      </c>
      <c r="I1094" s="254">
        <v>17.600000000000001</v>
      </c>
      <c r="J1094" s="254">
        <v>150.87509999999997</v>
      </c>
      <c r="K1094" s="254">
        <v>167.00639999999999</v>
      </c>
      <c r="L1094" s="254">
        <v>-16.13130000000001</v>
      </c>
      <c r="M1094" s="254">
        <v>-9.6590909090909154</v>
      </c>
    </row>
    <row r="1095" spans="1:13" ht="25.05" customHeight="1" x14ac:dyDescent="0.3">
      <c r="A1095" s="253" t="s">
        <v>1490</v>
      </c>
      <c r="B1095" s="252" t="s">
        <v>1511</v>
      </c>
      <c r="C1095" s="252">
        <v>0</v>
      </c>
      <c r="D1095" s="252">
        <v>0</v>
      </c>
      <c r="E1095" s="252" t="s">
        <v>20</v>
      </c>
      <c r="F1095" s="253" t="s">
        <v>250</v>
      </c>
      <c r="G1095" s="253" t="s">
        <v>251</v>
      </c>
      <c r="H1095" s="254">
        <v>11.600000000000001</v>
      </c>
      <c r="I1095" s="254">
        <v>9.3000000000000007</v>
      </c>
      <c r="J1095" s="254">
        <v>110.0724</v>
      </c>
      <c r="K1095" s="254">
        <v>88.247699999999995</v>
      </c>
      <c r="L1095" s="254">
        <v>21.824700000000007</v>
      </c>
      <c r="M1095" s="254">
        <v>24.731182795698935</v>
      </c>
    </row>
    <row r="1096" spans="1:13" ht="25.05" customHeight="1" x14ac:dyDescent="0.3">
      <c r="A1096" s="253" t="s">
        <v>1490</v>
      </c>
      <c r="B1096" s="252" t="s">
        <v>1512</v>
      </c>
      <c r="C1096" s="252">
        <v>0</v>
      </c>
      <c r="D1096" s="252">
        <v>0</v>
      </c>
      <c r="E1096" s="252" t="s">
        <v>20</v>
      </c>
      <c r="F1096" s="253" t="s">
        <v>250</v>
      </c>
      <c r="G1096" s="253" t="s">
        <v>251</v>
      </c>
      <c r="H1096" s="254">
        <v>154</v>
      </c>
      <c r="I1096" s="254">
        <v>169.2</v>
      </c>
      <c r="J1096" s="254">
        <v>1461.3059999999998</v>
      </c>
      <c r="K1096" s="254">
        <v>1605.5387999999998</v>
      </c>
      <c r="L1096" s="254">
        <v>-144.2328</v>
      </c>
      <c r="M1096" s="254">
        <v>-8.9834515366430256</v>
      </c>
    </row>
    <row r="1097" spans="1:13" ht="25.05" customHeight="1" x14ac:dyDescent="0.3">
      <c r="A1097" s="253" t="s">
        <v>1490</v>
      </c>
      <c r="B1097" s="252" t="s">
        <v>1513</v>
      </c>
      <c r="C1097" s="252" t="s">
        <v>239</v>
      </c>
      <c r="D1097" s="252" t="s">
        <v>239</v>
      </c>
      <c r="E1097" s="252" t="s">
        <v>239</v>
      </c>
      <c r="F1097" s="253" t="s">
        <v>250</v>
      </c>
      <c r="G1097" s="253" t="s">
        <v>251</v>
      </c>
      <c r="H1097" s="254">
        <v>127.6</v>
      </c>
      <c r="I1097" s="254">
        <v>129</v>
      </c>
      <c r="J1097" s="254">
        <v>1210.7963999999999</v>
      </c>
      <c r="K1097" s="254">
        <v>1224.0809999999999</v>
      </c>
      <c r="L1097" s="254">
        <v>-13.284599999999955</v>
      </c>
      <c r="M1097" s="254">
        <v>-1.0852713178294537</v>
      </c>
    </row>
    <row r="1098" spans="1:13" ht="25.05" customHeight="1" x14ac:dyDescent="0.3">
      <c r="A1098" s="253" t="s">
        <v>1490</v>
      </c>
      <c r="B1098" s="252" t="s">
        <v>212</v>
      </c>
      <c r="C1098" s="252" t="s">
        <v>213</v>
      </c>
      <c r="D1098" s="252" t="s">
        <v>129</v>
      </c>
      <c r="E1098" s="252" t="s">
        <v>46</v>
      </c>
      <c r="F1098" s="253" t="s">
        <v>250</v>
      </c>
      <c r="G1098" s="253" t="s">
        <v>251</v>
      </c>
      <c r="H1098" s="254">
        <v>22.1</v>
      </c>
      <c r="I1098" s="254">
        <v>22.1</v>
      </c>
      <c r="J1098" s="254">
        <v>209.70689999999999</v>
      </c>
      <c r="K1098" s="254">
        <v>209.70689999999999</v>
      </c>
      <c r="L1098" s="254">
        <v>0</v>
      </c>
      <c r="M1098" s="254">
        <v>0</v>
      </c>
    </row>
    <row r="1099" spans="1:13" ht="25.05" customHeight="1" x14ac:dyDescent="0.3">
      <c r="A1099" s="253" t="s">
        <v>1490</v>
      </c>
      <c r="B1099" s="252" t="s">
        <v>23</v>
      </c>
      <c r="C1099" s="252">
        <v>0</v>
      </c>
      <c r="D1099" s="252">
        <v>0</v>
      </c>
      <c r="E1099" s="252" t="s">
        <v>20</v>
      </c>
      <c r="F1099" s="253" t="s">
        <v>250</v>
      </c>
      <c r="G1099" s="253" t="s">
        <v>251</v>
      </c>
      <c r="H1099" s="254">
        <v>4.4000000000000004</v>
      </c>
      <c r="I1099" s="254">
        <v>18</v>
      </c>
      <c r="J1099" s="254">
        <v>41.751599999999996</v>
      </c>
      <c r="K1099" s="254">
        <v>170.80199999999999</v>
      </c>
      <c r="L1099" s="254">
        <v>-129.0504</v>
      </c>
      <c r="M1099" s="254">
        <v>-75.555555555555557</v>
      </c>
    </row>
    <row r="1100" spans="1:13" ht="25.05" customHeight="1" x14ac:dyDescent="0.3">
      <c r="A1100" s="253" t="s">
        <v>1490</v>
      </c>
      <c r="B1100" s="252" t="s">
        <v>23</v>
      </c>
      <c r="C1100" s="252">
        <v>0</v>
      </c>
      <c r="D1100" s="252">
        <v>0</v>
      </c>
      <c r="E1100" s="252" t="s">
        <v>20</v>
      </c>
      <c r="F1100" s="253" t="s">
        <v>250</v>
      </c>
      <c r="G1100" s="253" t="s">
        <v>251</v>
      </c>
      <c r="H1100" s="254">
        <v>1.6</v>
      </c>
      <c r="I1100" s="254">
        <v>2.2999999999999998</v>
      </c>
      <c r="J1100" s="254">
        <v>15.182399999999999</v>
      </c>
      <c r="K1100" s="254">
        <v>21.824699999999996</v>
      </c>
      <c r="L1100" s="254">
        <v>-6.642299999999997</v>
      </c>
      <c r="M1100" s="254">
        <v>-30.434782608695642</v>
      </c>
    </row>
    <row r="1101" spans="1:13" ht="25.05" customHeight="1" x14ac:dyDescent="0.3">
      <c r="A1101" s="267" t="s">
        <v>1490</v>
      </c>
      <c r="B1101" s="268" t="s">
        <v>101</v>
      </c>
      <c r="C1101" s="268">
        <v>0</v>
      </c>
      <c r="D1101" s="268">
        <v>0</v>
      </c>
      <c r="E1101" s="268" t="s">
        <v>20</v>
      </c>
      <c r="F1101" s="267" t="s">
        <v>250</v>
      </c>
      <c r="G1101" s="267" t="s">
        <v>251</v>
      </c>
      <c r="H1101" s="269">
        <v>305.8</v>
      </c>
      <c r="I1101" s="269">
        <v>352</v>
      </c>
      <c r="J1101" s="269">
        <v>2901.7361999999998</v>
      </c>
      <c r="K1101" s="269">
        <v>3340.1279999999997</v>
      </c>
      <c r="L1101" s="269">
        <v>-438.39179999999988</v>
      </c>
      <c r="M1101" s="269">
        <v>-13.124999999999998</v>
      </c>
    </row>
    <row r="1102" spans="1:13" ht="25.05" customHeight="1" x14ac:dyDescent="0.3">
      <c r="A1102" s="253" t="s">
        <v>1514</v>
      </c>
      <c r="B1102" s="252" t="s">
        <v>1803</v>
      </c>
      <c r="C1102" s="252" t="s">
        <v>1804</v>
      </c>
      <c r="D1102" s="252" t="s">
        <v>113</v>
      </c>
      <c r="E1102" s="252" t="s">
        <v>40</v>
      </c>
      <c r="F1102" s="253" t="s">
        <v>1515</v>
      </c>
      <c r="G1102" s="253" t="s">
        <v>22</v>
      </c>
      <c r="H1102" s="254">
        <v>4585</v>
      </c>
      <c r="I1102" s="254">
        <v>4508</v>
      </c>
      <c r="J1102" s="254">
        <v>549.85612500000002</v>
      </c>
      <c r="K1102" s="254">
        <v>540.62189999999998</v>
      </c>
      <c r="L1102" s="254">
        <v>9.2342250000000377</v>
      </c>
      <c r="M1102" s="254">
        <v>1.7080745341614978</v>
      </c>
    </row>
    <row r="1103" spans="1:13" ht="25.05" customHeight="1" x14ac:dyDescent="0.3">
      <c r="A1103" s="253" t="s">
        <v>1514</v>
      </c>
      <c r="B1103" s="252" t="s">
        <v>1425</v>
      </c>
      <c r="C1103" s="252" t="s">
        <v>1426</v>
      </c>
      <c r="D1103" s="252" t="s">
        <v>113</v>
      </c>
      <c r="E1103" s="252" t="s">
        <v>40</v>
      </c>
      <c r="F1103" s="253" t="s">
        <v>1515</v>
      </c>
      <c r="G1103" s="253" t="s">
        <v>22</v>
      </c>
      <c r="H1103" s="254">
        <v>1705</v>
      </c>
      <c r="I1103" s="254">
        <v>1463</v>
      </c>
      <c r="J1103" s="254">
        <v>204.47212500000001</v>
      </c>
      <c r="K1103" s="254">
        <v>175.450275</v>
      </c>
      <c r="L1103" s="254">
        <v>29.021850000000001</v>
      </c>
      <c r="M1103" s="254">
        <v>16.541353383458645</v>
      </c>
    </row>
    <row r="1104" spans="1:13" ht="25.05" customHeight="1" x14ac:dyDescent="0.3">
      <c r="A1104" s="253" t="s">
        <v>1514</v>
      </c>
      <c r="B1104" s="252" t="s">
        <v>1516</v>
      </c>
      <c r="C1104" s="252">
        <v>0</v>
      </c>
      <c r="D1104" s="252">
        <v>0</v>
      </c>
      <c r="E1104" s="252" t="s">
        <v>20</v>
      </c>
      <c r="F1104" s="253" t="s">
        <v>1515</v>
      </c>
      <c r="G1104" s="253" t="s">
        <v>22</v>
      </c>
      <c r="H1104" s="254">
        <v>1301</v>
      </c>
      <c r="I1104" s="254">
        <v>1373</v>
      </c>
      <c r="J1104" s="254">
        <v>156.022425</v>
      </c>
      <c r="K1104" s="254">
        <v>164.657025</v>
      </c>
      <c r="L1104" s="254">
        <v>-8.634600000000006</v>
      </c>
      <c r="M1104" s="254">
        <v>-5.2439912600145702</v>
      </c>
    </row>
    <row r="1105" spans="1:13" ht="25.05" customHeight="1" x14ac:dyDescent="0.3">
      <c r="A1105" s="253" t="s">
        <v>1514</v>
      </c>
      <c r="B1105" s="252" t="s">
        <v>1517</v>
      </c>
      <c r="C1105" s="252" t="s">
        <v>1518</v>
      </c>
      <c r="D1105" s="252" t="s">
        <v>113</v>
      </c>
      <c r="E1105" s="252" t="s">
        <v>46</v>
      </c>
      <c r="F1105" s="253" t="s">
        <v>1515</v>
      </c>
      <c r="G1105" s="253" t="s">
        <v>22</v>
      </c>
      <c r="H1105" s="254">
        <v>587</v>
      </c>
      <c r="I1105" s="254">
        <v>34</v>
      </c>
      <c r="J1105" s="254">
        <v>70.395975000000007</v>
      </c>
      <c r="K1105" s="254">
        <v>4.0774499999999998</v>
      </c>
      <c r="L1105" s="254">
        <v>66.318525000000008</v>
      </c>
      <c r="M1105" s="254">
        <v>1626.4705882352946</v>
      </c>
    </row>
    <row r="1106" spans="1:13" ht="25.05" customHeight="1" x14ac:dyDescent="0.3">
      <c r="A1106" s="253" t="s">
        <v>1514</v>
      </c>
      <c r="B1106" s="252" t="s">
        <v>1519</v>
      </c>
      <c r="C1106" s="252">
        <v>0</v>
      </c>
      <c r="D1106" s="252">
        <v>0</v>
      </c>
      <c r="E1106" s="252" t="s">
        <v>20</v>
      </c>
      <c r="F1106" s="253" t="s">
        <v>1515</v>
      </c>
      <c r="G1106" s="253" t="s">
        <v>22</v>
      </c>
      <c r="H1106" s="254">
        <v>481</v>
      </c>
      <c r="I1106" s="254">
        <v>376</v>
      </c>
      <c r="J1106" s="254">
        <v>57.683925000000002</v>
      </c>
      <c r="K1106" s="254">
        <v>45.091799999999999</v>
      </c>
      <c r="L1106" s="254">
        <v>12.592125000000003</v>
      </c>
      <c r="M1106" s="254">
        <v>27.925531914893625</v>
      </c>
    </row>
    <row r="1107" spans="1:13" ht="25.05" customHeight="1" x14ac:dyDescent="0.3">
      <c r="A1107" s="253" t="s">
        <v>1514</v>
      </c>
      <c r="B1107" s="252" t="s">
        <v>1520</v>
      </c>
      <c r="C1107" s="252">
        <v>0</v>
      </c>
      <c r="D1107" s="252">
        <v>0</v>
      </c>
      <c r="E1107" s="252" t="s">
        <v>20</v>
      </c>
      <c r="F1107" s="253" t="s">
        <v>1515</v>
      </c>
      <c r="G1107" s="253" t="s">
        <v>22</v>
      </c>
      <c r="H1107" s="254">
        <v>8660</v>
      </c>
      <c r="I1107" s="254">
        <v>7755</v>
      </c>
      <c r="J1107" s="254">
        <v>1038.5505000000001</v>
      </c>
      <c r="K1107" s="254">
        <v>930.01837499999999</v>
      </c>
      <c r="L1107" s="254">
        <v>108.53212500000006</v>
      </c>
      <c r="M1107" s="254">
        <v>11.669890393294656</v>
      </c>
    </row>
    <row r="1108" spans="1:13" ht="25.05" customHeight="1" x14ac:dyDescent="0.3">
      <c r="A1108" s="253" t="s">
        <v>1514</v>
      </c>
      <c r="B1108" s="252" t="s">
        <v>1521</v>
      </c>
      <c r="C1108" s="252" t="s">
        <v>1522</v>
      </c>
      <c r="D1108" s="252" t="s">
        <v>43</v>
      </c>
      <c r="E1108" s="252" t="s">
        <v>40</v>
      </c>
      <c r="F1108" s="253" t="s">
        <v>1515</v>
      </c>
      <c r="G1108" s="253" t="s">
        <v>22</v>
      </c>
      <c r="H1108" s="254">
        <v>2079</v>
      </c>
      <c r="I1108" s="254">
        <v>1571</v>
      </c>
      <c r="J1108" s="254">
        <v>249.32407500000002</v>
      </c>
      <c r="K1108" s="254">
        <v>188.402175</v>
      </c>
      <c r="L1108" s="254">
        <v>60.921900000000022</v>
      </c>
      <c r="M1108" s="254">
        <v>32.336091661362204</v>
      </c>
    </row>
    <row r="1109" spans="1:13" ht="25.05" customHeight="1" x14ac:dyDescent="0.3">
      <c r="A1109" s="253" t="s">
        <v>1514</v>
      </c>
      <c r="B1109" s="252" t="s">
        <v>235</v>
      </c>
      <c r="C1109" s="252" t="s">
        <v>236</v>
      </c>
      <c r="D1109" s="252" t="s">
        <v>43</v>
      </c>
      <c r="E1109" s="252" t="s">
        <v>40</v>
      </c>
      <c r="F1109" s="253" t="s">
        <v>1515</v>
      </c>
      <c r="G1109" s="253" t="s">
        <v>22</v>
      </c>
      <c r="H1109" s="254">
        <v>2726</v>
      </c>
      <c r="I1109" s="254">
        <v>2594</v>
      </c>
      <c r="J1109" s="254">
        <v>326.91555</v>
      </c>
      <c r="K1109" s="254">
        <v>311.08545000000004</v>
      </c>
      <c r="L1109" s="254">
        <v>15.830099999999959</v>
      </c>
      <c r="M1109" s="254">
        <v>5.0886661526599708</v>
      </c>
    </row>
    <row r="1110" spans="1:13" ht="25.05" customHeight="1" x14ac:dyDescent="0.3">
      <c r="A1110" s="253" t="s">
        <v>1514</v>
      </c>
      <c r="B1110" s="252" t="s">
        <v>1523</v>
      </c>
      <c r="C1110" s="252" t="s">
        <v>1524</v>
      </c>
      <c r="D1110" s="252" t="s">
        <v>43</v>
      </c>
      <c r="E1110" s="252" t="s">
        <v>40</v>
      </c>
      <c r="F1110" s="253" t="s">
        <v>1515</v>
      </c>
      <c r="G1110" s="253" t="s">
        <v>22</v>
      </c>
      <c r="H1110" s="254">
        <v>609</v>
      </c>
      <c r="I1110" s="254">
        <v>542</v>
      </c>
      <c r="J1110" s="254">
        <v>73.034324999999995</v>
      </c>
      <c r="K1110" s="254">
        <v>64.999350000000007</v>
      </c>
      <c r="L1110" s="254">
        <v>8.0349749999999887</v>
      </c>
      <c r="M1110" s="254">
        <v>12.361623616236143</v>
      </c>
    </row>
    <row r="1111" spans="1:13" ht="25.05" customHeight="1" x14ac:dyDescent="0.3">
      <c r="A1111" s="253" t="s">
        <v>1514</v>
      </c>
      <c r="B1111" s="252" t="s">
        <v>43</v>
      </c>
      <c r="C1111" s="252">
        <v>0</v>
      </c>
      <c r="D1111" s="252" t="s">
        <v>43</v>
      </c>
      <c r="E1111" s="252" t="s">
        <v>20</v>
      </c>
      <c r="F1111" s="253" t="s">
        <v>1515</v>
      </c>
      <c r="G1111" s="253" t="s">
        <v>22</v>
      </c>
      <c r="H1111" s="254">
        <v>5416</v>
      </c>
      <c r="I1111" s="254">
        <v>4706</v>
      </c>
      <c r="J1111" s="254">
        <v>649.51380000000006</v>
      </c>
      <c r="K1111" s="254">
        <v>564.36705000000006</v>
      </c>
      <c r="L1111" s="254">
        <v>85.146749999999997</v>
      </c>
      <c r="M1111" s="254">
        <v>15.08712282192945</v>
      </c>
    </row>
    <row r="1112" spans="1:13" ht="25.05" customHeight="1" x14ac:dyDescent="0.3">
      <c r="A1112" s="253" t="s">
        <v>1514</v>
      </c>
      <c r="B1112" s="252" t="s">
        <v>1525</v>
      </c>
      <c r="C1112" s="252">
        <v>0</v>
      </c>
      <c r="D1112" s="252">
        <v>0</v>
      </c>
      <c r="E1112" s="252" t="s">
        <v>20</v>
      </c>
      <c r="F1112" s="253" t="s">
        <v>1515</v>
      </c>
      <c r="G1112" s="253" t="s">
        <v>22</v>
      </c>
      <c r="H1112" s="254">
        <v>1186</v>
      </c>
      <c r="I1112" s="254">
        <v>1787</v>
      </c>
      <c r="J1112" s="254">
        <v>142.23105000000001</v>
      </c>
      <c r="K1112" s="254">
        <v>214.30597500000002</v>
      </c>
      <c r="L1112" s="254">
        <v>-72.074925000000007</v>
      </c>
      <c r="M1112" s="254">
        <v>-33.631785114717403</v>
      </c>
    </row>
    <row r="1113" spans="1:13" ht="25.05" customHeight="1" x14ac:dyDescent="0.3">
      <c r="A1113" s="253" t="s">
        <v>1514</v>
      </c>
      <c r="B1113" s="252" t="s">
        <v>1525</v>
      </c>
      <c r="C1113" s="252">
        <v>0</v>
      </c>
      <c r="D1113" s="252">
        <v>0</v>
      </c>
      <c r="E1113" s="252" t="s">
        <v>20</v>
      </c>
      <c r="F1113" s="253" t="s">
        <v>1515</v>
      </c>
      <c r="G1113" s="253" t="s">
        <v>22</v>
      </c>
      <c r="H1113" s="254">
        <v>1186</v>
      </c>
      <c r="I1113" s="254">
        <v>1787</v>
      </c>
      <c r="J1113" s="254">
        <v>142.23105000000001</v>
      </c>
      <c r="K1113" s="254">
        <v>214.30597500000002</v>
      </c>
      <c r="L1113" s="254">
        <v>-72.074925000000007</v>
      </c>
      <c r="M1113" s="254">
        <v>-33.631785114717403</v>
      </c>
    </row>
    <row r="1114" spans="1:13" ht="25.05" customHeight="1" x14ac:dyDescent="0.3">
      <c r="A1114" s="267" t="s">
        <v>1514</v>
      </c>
      <c r="B1114" s="268" t="s">
        <v>501</v>
      </c>
      <c r="C1114" s="268">
        <v>0</v>
      </c>
      <c r="D1114" s="268">
        <v>0</v>
      </c>
      <c r="E1114" s="268" t="s">
        <v>20</v>
      </c>
      <c r="F1114" s="267" t="s">
        <v>1515</v>
      </c>
      <c r="G1114" s="267" t="s">
        <v>22</v>
      </c>
      <c r="H1114" s="269">
        <v>15261</v>
      </c>
      <c r="I1114" s="269">
        <v>14248</v>
      </c>
      <c r="J1114" s="269">
        <v>1830.1754250000001</v>
      </c>
      <c r="K1114" s="269">
        <v>1708.6914000000002</v>
      </c>
      <c r="L1114" s="269">
        <v>121.48402499999997</v>
      </c>
      <c r="M1114" s="269">
        <v>7.1097697922515408</v>
      </c>
    </row>
    <row r="1115" spans="1:13" ht="25.05" customHeight="1" x14ac:dyDescent="0.3">
      <c r="A1115" s="253" t="s">
        <v>1526</v>
      </c>
      <c r="B1115" s="252" t="s">
        <v>1806</v>
      </c>
      <c r="C1115" s="252" t="s">
        <v>1807</v>
      </c>
      <c r="D1115" s="252" t="s">
        <v>97</v>
      </c>
      <c r="E1115" s="252" t="s">
        <v>40</v>
      </c>
      <c r="F1115" s="253" t="s">
        <v>250</v>
      </c>
      <c r="G1115" s="253" t="s">
        <v>251</v>
      </c>
      <c r="H1115" s="254">
        <v>402.9</v>
      </c>
      <c r="I1115" s="254">
        <v>331.70000000000005</v>
      </c>
      <c r="J1115" s="254">
        <v>3823.1180999999997</v>
      </c>
      <c r="K1115" s="254">
        <v>3147.5013000000004</v>
      </c>
      <c r="L1115" s="254">
        <v>675.61679999999933</v>
      </c>
      <c r="M1115" s="254">
        <v>21.465179378956865</v>
      </c>
    </row>
    <row r="1116" spans="1:13" ht="25.05" customHeight="1" x14ac:dyDescent="0.3">
      <c r="A1116" s="253" t="s">
        <v>1526</v>
      </c>
      <c r="B1116" s="252" t="s">
        <v>1527</v>
      </c>
      <c r="C1116" s="252" t="s">
        <v>1528</v>
      </c>
      <c r="D1116" s="252" t="s">
        <v>97</v>
      </c>
      <c r="E1116" s="252" t="s">
        <v>46</v>
      </c>
      <c r="F1116" s="253" t="s">
        <v>250</v>
      </c>
      <c r="G1116" s="253" t="s">
        <v>251</v>
      </c>
      <c r="H1116" s="254">
        <v>58.3</v>
      </c>
      <c r="I1116" s="254">
        <v>62.300000000000004</v>
      </c>
      <c r="J1116" s="254">
        <v>553.20869999999991</v>
      </c>
      <c r="K1116" s="254">
        <v>591.16470000000004</v>
      </c>
      <c r="L1116" s="254">
        <v>-37.956000000000131</v>
      </c>
      <c r="M1116" s="254">
        <v>-6.4205457463884645</v>
      </c>
    </row>
    <row r="1117" spans="1:13" ht="25.05" customHeight="1" x14ac:dyDescent="0.3">
      <c r="A1117" s="253" t="s">
        <v>1526</v>
      </c>
      <c r="B1117" s="252" t="s">
        <v>1529</v>
      </c>
      <c r="C1117" s="252" t="s">
        <v>1529</v>
      </c>
      <c r="D1117" s="252" t="s">
        <v>97</v>
      </c>
      <c r="E1117" s="252" t="s">
        <v>46</v>
      </c>
      <c r="F1117" s="253" t="s">
        <v>250</v>
      </c>
      <c r="G1117" s="253" t="s">
        <v>251</v>
      </c>
      <c r="H1117" s="254">
        <v>43.5</v>
      </c>
      <c r="I1117" s="254">
        <v>52.999999999999993</v>
      </c>
      <c r="J1117" s="254">
        <v>412.77149999999995</v>
      </c>
      <c r="K1117" s="254">
        <v>502.91699999999986</v>
      </c>
      <c r="L1117" s="254">
        <v>-90.145499999999913</v>
      </c>
      <c r="M1117" s="254">
        <v>-17.924528301886781</v>
      </c>
    </row>
    <row r="1118" spans="1:13" ht="25.05" customHeight="1" x14ac:dyDescent="0.3">
      <c r="A1118" s="253" t="s">
        <v>1526</v>
      </c>
      <c r="B1118" s="252" t="s">
        <v>1530</v>
      </c>
      <c r="C1118" s="252" t="s">
        <v>1531</v>
      </c>
      <c r="D1118" s="252" t="s">
        <v>97</v>
      </c>
      <c r="E1118" s="252" t="s">
        <v>46</v>
      </c>
      <c r="F1118" s="253" t="s">
        <v>250</v>
      </c>
      <c r="G1118" s="253" t="s">
        <v>251</v>
      </c>
      <c r="H1118" s="254">
        <v>81.2</v>
      </c>
      <c r="I1118" s="254">
        <v>69.600000000000009</v>
      </c>
      <c r="J1118" s="254">
        <v>770.50679999999988</v>
      </c>
      <c r="K1118" s="254">
        <v>660.4344000000001</v>
      </c>
      <c r="L1118" s="254">
        <v>110.07239999999979</v>
      </c>
      <c r="M1118" s="254">
        <v>16.666666666666632</v>
      </c>
    </row>
    <row r="1119" spans="1:13" ht="25.05" customHeight="1" x14ac:dyDescent="0.3">
      <c r="A1119" s="253" t="s">
        <v>1526</v>
      </c>
      <c r="B1119" s="252" t="s">
        <v>1532</v>
      </c>
      <c r="C1119" s="252" t="s">
        <v>1533</v>
      </c>
      <c r="D1119" s="252" t="s">
        <v>97</v>
      </c>
      <c r="E1119" s="252" t="s">
        <v>46</v>
      </c>
      <c r="F1119" s="253" t="s">
        <v>250</v>
      </c>
      <c r="G1119" s="253" t="s">
        <v>251</v>
      </c>
      <c r="H1119" s="254">
        <v>65</v>
      </c>
      <c r="I1119" s="254">
        <v>59.7</v>
      </c>
      <c r="J1119" s="254">
        <v>616.78499999999997</v>
      </c>
      <c r="K1119" s="254">
        <v>566.49329999999998</v>
      </c>
      <c r="L1119" s="254">
        <v>50.291699999999992</v>
      </c>
      <c r="M1119" s="254">
        <v>8.8777219430485754</v>
      </c>
    </row>
    <row r="1120" spans="1:13" ht="25.05" customHeight="1" x14ac:dyDescent="0.3">
      <c r="A1120" s="253" t="s">
        <v>1526</v>
      </c>
      <c r="B1120" s="252" t="s">
        <v>1534</v>
      </c>
      <c r="C1120" s="252" t="s">
        <v>1535</v>
      </c>
      <c r="D1120" s="252" t="s">
        <v>97</v>
      </c>
      <c r="E1120" s="252" t="s">
        <v>46</v>
      </c>
      <c r="F1120" s="253" t="s">
        <v>250</v>
      </c>
      <c r="G1120" s="253" t="s">
        <v>251</v>
      </c>
      <c r="H1120" s="254">
        <v>23.3</v>
      </c>
      <c r="I1120" s="254">
        <v>24.9</v>
      </c>
      <c r="J1120" s="254">
        <v>221.09369999999998</v>
      </c>
      <c r="K1120" s="254">
        <v>236.27609999999999</v>
      </c>
      <c r="L1120" s="254">
        <v>-15.182400000000001</v>
      </c>
      <c r="M1120" s="254">
        <v>-6.4257028112449808</v>
      </c>
    </row>
    <row r="1121" spans="1:13" ht="25.05" customHeight="1" x14ac:dyDescent="0.3">
      <c r="A1121" s="253" t="s">
        <v>1526</v>
      </c>
      <c r="B1121" s="252" t="s">
        <v>1536</v>
      </c>
      <c r="C1121" s="252" t="s">
        <v>496</v>
      </c>
      <c r="D1121" s="252" t="s">
        <v>97</v>
      </c>
      <c r="E1121" s="252" t="s">
        <v>46</v>
      </c>
      <c r="F1121" s="253" t="s">
        <v>250</v>
      </c>
      <c r="G1121" s="253" t="s">
        <v>251</v>
      </c>
      <c r="H1121" s="254">
        <v>23.9</v>
      </c>
      <c r="I1121" s="254">
        <v>21.599999999999998</v>
      </c>
      <c r="J1121" s="254">
        <v>226.78709999999998</v>
      </c>
      <c r="K1121" s="254">
        <v>204.96239999999995</v>
      </c>
      <c r="L1121" s="254">
        <v>21.824700000000036</v>
      </c>
      <c r="M1121" s="254">
        <v>10.648148148148168</v>
      </c>
    </row>
    <row r="1122" spans="1:13" ht="25.05" customHeight="1" x14ac:dyDescent="0.3">
      <c r="A1122" s="253" t="s">
        <v>1526</v>
      </c>
      <c r="B1122" s="252" t="s">
        <v>965</v>
      </c>
      <c r="C1122" s="252" t="s">
        <v>966</v>
      </c>
      <c r="D1122" s="252" t="s">
        <v>97</v>
      </c>
      <c r="E1122" s="252" t="s">
        <v>46</v>
      </c>
      <c r="F1122" s="253" t="s">
        <v>250</v>
      </c>
      <c r="G1122" s="253" t="s">
        <v>251</v>
      </c>
      <c r="H1122" s="254">
        <v>24.9</v>
      </c>
      <c r="I1122" s="254">
        <v>29.2</v>
      </c>
      <c r="J1122" s="254">
        <v>236.27609999999999</v>
      </c>
      <c r="K1122" s="254">
        <v>277.0788</v>
      </c>
      <c r="L1122" s="254">
        <v>-40.802700000000016</v>
      </c>
      <c r="M1122" s="254">
        <v>-14.72602739726028</v>
      </c>
    </row>
    <row r="1123" spans="1:13" ht="25.05" customHeight="1" x14ac:dyDescent="0.3">
      <c r="A1123" s="253" t="s">
        <v>1526</v>
      </c>
      <c r="B1123" s="252" t="s">
        <v>1537</v>
      </c>
      <c r="C1123" s="252" t="s">
        <v>1538</v>
      </c>
      <c r="D1123" s="252" t="s">
        <v>97</v>
      </c>
      <c r="E1123" s="252" t="s">
        <v>46</v>
      </c>
      <c r="F1123" s="253" t="s">
        <v>250</v>
      </c>
      <c r="G1123" s="253" t="s">
        <v>251</v>
      </c>
      <c r="H1123" s="254">
        <v>10.4</v>
      </c>
      <c r="I1123" s="254">
        <v>5.3999999999999995</v>
      </c>
      <c r="J1123" s="254">
        <v>98.685599999999994</v>
      </c>
      <c r="K1123" s="254">
        <v>51.240599999999986</v>
      </c>
      <c r="L1123" s="254">
        <v>47.445000000000007</v>
      </c>
      <c r="M1123" s="254">
        <v>92.592592592592624</v>
      </c>
    </row>
    <row r="1124" spans="1:13" ht="25.05" customHeight="1" x14ac:dyDescent="0.3">
      <c r="A1124" s="253" t="s">
        <v>1526</v>
      </c>
      <c r="B1124" s="252" t="s">
        <v>177</v>
      </c>
      <c r="C1124" s="252">
        <v>0</v>
      </c>
      <c r="D1124" s="252" t="s">
        <v>97</v>
      </c>
      <c r="E1124" s="252" t="s">
        <v>20</v>
      </c>
      <c r="F1124" s="253" t="s">
        <v>250</v>
      </c>
      <c r="G1124" s="253" t="s">
        <v>251</v>
      </c>
      <c r="H1124" s="254">
        <v>20.3</v>
      </c>
      <c r="I1124" s="254">
        <v>22.199999999999996</v>
      </c>
      <c r="J1124" s="254">
        <v>192.62669999999997</v>
      </c>
      <c r="K1124" s="254">
        <v>210.65579999999994</v>
      </c>
      <c r="L1124" s="254">
        <v>-18.029099999999971</v>
      </c>
      <c r="M1124" s="254">
        <v>-8.5585585585585466</v>
      </c>
    </row>
    <row r="1125" spans="1:13" ht="25.05" customHeight="1" x14ac:dyDescent="0.3">
      <c r="A1125" s="253" t="s">
        <v>1526</v>
      </c>
      <c r="B1125" s="252" t="s">
        <v>97</v>
      </c>
      <c r="C1125" s="252">
        <v>0</v>
      </c>
      <c r="D1125" s="252" t="s">
        <v>97</v>
      </c>
      <c r="E1125" s="252" t="s">
        <v>20</v>
      </c>
      <c r="F1125" s="253" t="s">
        <v>250</v>
      </c>
      <c r="G1125" s="253" t="s">
        <v>251</v>
      </c>
      <c r="H1125" s="254">
        <v>753.5</v>
      </c>
      <c r="I1125" s="254">
        <v>679.6</v>
      </c>
      <c r="J1125" s="254">
        <v>7149.9614999999994</v>
      </c>
      <c r="K1125" s="254">
        <v>6448.7243999999992</v>
      </c>
      <c r="L1125" s="254">
        <v>701.23710000000028</v>
      </c>
      <c r="M1125" s="254">
        <v>10.874043555032378</v>
      </c>
    </row>
    <row r="1126" spans="1:13" ht="25.05" customHeight="1" x14ac:dyDescent="0.3">
      <c r="A1126" s="253" t="s">
        <v>1526</v>
      </c>
      <c r="B1126" s="252" t="s">
        <v>1539</v>
      </c>
      <c r="C1126" s="252" t="s">
        <v>1540</v>
      </c>
      <c r="D1126" s="252" t="s">
        <v>116</v>
      </c>
      <c r="E1126" s="252" t="s">
        <v>40</v>
      </c>
      <c r="F1126" s="253" t="s">
        <v>250</v>
      </c>
      <c r="G1126" s="253" t="s">
        <v>251</v>
      </c>
      <c r="H1126" s="254">
        <v>67.099999999999994</v>
      </c>
      <c r="I1126" s="254">
        <v>67.400000000000006</v>
      </c>
      <c r="J1126" s="254">
        <v>636.7118999999999</v>
      </c>
      <c r="K1126" s="254">
        <v>639.55859999999996</v>
      </c>
      <c r="L1126" s="254">
        <v>-2.8467000000000553</v>
      </c>
      <c r="M1126" s="254">
        <v>-0.44510385756677429</v>
      </c>
    </row>
    <row r="1127" spans="1:13" ht="25.05" customHeight="1" x14ac:dyDescent="0.3">
      <c r="A1127" s="253" t="s">
        <v>1526</v>
      </c>
      <c r="B1127" s="252" t="s">
        <v>1541</v>
      </c>
      <c r="C1127" s="252" t="s">
        <v>551</v>
      </c>
      <c r="D1127" s="252" t="s">
        <v>116</v>
      </c>
      <c r="E1127" s="252" t="s">
        <v>40</v>
      </c>
      <c r="F1127" s="253" t="s">
        <v>250</v>
      </c>
      <c r="G1127" s="253" t="s">
        <v>251</v>
      </c>
      <c r="H1127" s="254">
        <v>51.6</v>
      </c>
      <c r="I1127" s="254">
        <v>50</v>
      </c>
      <c r="J1127" s="254">
        <v>489.63239999999996</v>
      </c>
      <c r="K1127" s="254">
        <v>474.44999999999993</v>
      </c>
      <c r="L1127" s="254">
        <v>15.18240000000003</v>
      </c>
      <c r="M1127" s="254">
        <v>3.2000000000000068</v>
      </c>
    </row>
    <row r="1128" spans="1:13" ht="25.05" customHeight="1" x14ac:dyDescent="0.3">
      <c r="A1128" s="253" t="s">
        <v>1526</v>
      </c>
      <c r="B1128" s="252" t="s">
        <v>1542</v>
      </c>
      <c r="C1128" s="252" t="s">
        <v>1543</v>
      </c>
      <c r="D1128" s="252" t="s">
        <v>116</v>
      </c>
      <c r="E1128" s="252" t="s">
        <v>40</v>
      </c>
      <c r="F1128" s="253" t="s">
        <v>250</v>
      </c>
      <c r="G1128" s="253" t="s">
        <v>251</v>
      </c>
      <c r="H1128" s="254">
        <v>38.4</v>
      </c>
      <c r="I1128" s="254">
        <v>37.1</v>
      </c>
      <c r="J1128" s="254">
        <v>364.37759999999997</v>
      </c>
      <c r="K1128" s="254">
        <v>352.04189999999994</v>
      </c>
      <c r="L1128" s="254">
        <v>12.335700000000031</v>
      </c>
      <c r="M1128" s="254">
        <v>3.5040431266846457</v>
      </c>
    </row>
    <row r="1129" spans="1:13" ht="25.05" customHeight="1" x14ac:dyDescent="0.3">
      <c r="A1129" s="253" t="s">
        <v>1526</v>
      </c>
      <c r="B1129" s="252" t="s">
        <v>1544</v>
      </c>
      <c r="C1129" s="252" t="s">
        <v>1545</v>
      </c>
      <c r="D1129" s="252" t="s">
        <v>116</v>
      </c>
      <c r="E1129" s="252" t="s">
        <v>40</v>
      </c>
      <c r="F1129" s="253" t="s">
        <v>250</v>
      </c>
      <c r="G1129" s="253" t="s">
        <v>251</v>
      </c>
      <c r="H1129" s="254">
        <v>3.1</v>
      </c>
      <c r="I1129" s="254">
        <v>20.100000000000001</v>
      </c>
      <c r="J1129" s="254">
        <v>29.415899999999997</v>
      </c>
      <c r="K1129" s="254">
        <v>190.72889999999998</v>
      </c>
      <c r="L1129" s="254">
        <v>-161.31299999999999</v>
      </c>
      <c r="M1129" s="254">
        <v>-84.577114427860707</v>
      </c>
    </row>
    <row r="1130" spans="1:13" ht="25.05" customHeight="1" x14ac:dyDescent="0.3">
      <c r="A1130" s="253" t="s">
        <v>1526</v>
      </c>
      <c r="B1130" s="252" t="s">
        <v>1546</v>
      </c>
      <c r="C1130" s="252">
        <v>0</v>
      </c>
      <c r="D1130" s="252" t="s">
        <v>116</v>
      </c>
      <c r="E1130" s="252" t="s">
        <v>20</v>
      </c>
      <c r="F1130" s="253" t="s">
        <v>250</v>
      </c>
      <c r="G1130" s="253" t="s">
        <v>251</v>
      </c>
      <c r="H1130" s="254">
        <v>160.30000000000001</v>
      </c>
      <c r="I1130" s="254">
        <v>174.59999999999997</v>
      </c>
      <c r="J1130" s="254">
        <v>1521.0866999999998</v>
      </c>
      <c r="K1130" s="254">
        <v>1656.7793999999997</v>
      </c>
      <c r="L1130" s="254">
        <v>-135.69269999999983</v>
      </c>
      <c r="M1130" s="254">
        <v>-8.1901489117983886</v>
      </c>
    </row>
    <row r="1131" spans="1:13" ht="25.05" customHeight="1" x14ac:dyDescent="0.3">
      <c r="A1131" s="253" t="s">
        <v>1526</v>
      </c>
      <c r="B1131" s="252" t="s">
        <v>1547</v>
      </c>
      <c r="C1131" s="252" t="s">
        <v>322</v>
      </c>
      <c r="D1131" s="252" t="s">
        <v>113</v>
      </c>
      <c r="E1131" s="252" t="s">
        <v>40</v>
      </c>
      <c r="F1131" s="253" t="s">
        <v>250</v>
      </c>
      <c r="G1131" s="253" t="s">
        <v>251</v>
      </c>
      <c r="H1131" s="254">
        <v>132</v>
      </c>
      <c r="I1131" s="254">
        <v>155.20000000000002</v>
      </c>
      <c r="J1131" s="254">
        <v>1252.548</v>
      </c>
      <c r="K1131" s="254">
        <v>1472.6928000000003</v>
      </c>
      <c r="L1131" s="254">
        <v>-220.14480000000026</v>
      </c>
      <c r="M1131" s="254">
        <v>-14.948453608247439</v>
      </c>
    </row>
    <row r="1132" spans="1:13" ht="25.05" customHeight="1" x14ac:dyDescent="0.3">
      <c r="A1132" s="253" t="s">
        <v>1526</v>
      </c>
      <c r="B1132" s="252" t="s">
        <v>1548</v>
      </c>
      <c r="C1132" s="252" t="s">
        <v>1549</v>
      </c>
      <c r="D1132" s="252" t="s">
        <v>113</v>
      </c>
      <c r="E1132" s="252" t="s">
        <v>40</v>
      </c>
      <c r="F1132" s="253" t="s">
        <v>250</v>
      </c>
      <c r="G1132" s="253" t="s">
        <v>251</v>
      </c>
      <c r="H1132" s="254">
        <v>57.7</v>
      </c>
      <c r="I1132" s="254">
        <v>55.6</v>
      </c>
      <c r="J1132" s="254">
        <v>547.51529999999991</v>
      </c>
      <c r="K1132" s="254">
        <v>527.58839999999998</v>
      </c>
      <c r="L1132" s="254">
        <v>19.926899999999932</v>
      </c>
      <c r="M1132" s="254">
        <v>3.7769784172661747</v>
      </c>
    </row>
    <row r="1133" spans="1:13" ht="25.05" customHeight="1" x14ac:dyDescent="0.3">
      <c r="A1133" s="253" t="s">
        <v>1526</v>
      </c>
      <c r="B1133" s="252" t="s">
        <v>1550</v>
      </c>
      <c r="C1133" s="252" t="s">
        <v>1551</v>
      </c>
      <c r="D1133" s="252" t="s">
        <v>113</v>
      </c>
      <c r="E1133" s="252" t="s">
        <v>40</v>
      </c>
      <c r="F1133" s="253" t="s">
        <v>250</v>
      </c>
      <c r="G1133" s="253" t="s">
        <v>251</v>
      </c>
      <c r="H1133" s="254">
        <v>46.2</v>
      </c>
      <c r="I1133" s="254">
        <v>49.2</v>
      </c>
      <c r="J1133" s="254">
        <v>438.39179999999999</v>
      </c>
      <c r="K1133" s="254">
        <v>466.85879999999997</v>
      </c>
      <c r="L1133" s="254">
        <v>-28.466999999999985</v>
      </c>
      <c r="M1133" s="254">
        <v>-6.0975609756097535</v>
      </c>
    </row>
    <row r="1134" spans="1:13" ht="25.05" customHeight="1" x14ac:dyDescent="0.3">
      <c r="A1134" s="253" t="s">
        <v>1526</v>
      </c>
      <c r="B1134" s="252" t="s">
        <v>1552</v>
      </c>
      <c r="C1134" s="252" t="s">
        <v>1553</v>
      </c>
      <c r="D1134" s="252" t="s">
        <v>113</v>
      </c>
      <c r="E1134" s="252" t="s">
        <v>40</v>
      </c>
      <c r="F1134" s="253" t="s">
        <v>250</v>
      </c>
      <c r="G1134" s="253" t="s">
        <v>251</v>
      </c>
      <c r="H1134" s="254">
        <v>17.600000000000001</v>
      </c>
      <c r="I1134" s="254">
        <v>23.5</v>
      </c>
      <c r="J1134" s="254">
        <v>167.00639999999999</v>
      </c>
      <c r="K1134" s="254">
        <v>222.99149999999997</v>
      </c>
      <c r="L1134" s="254">
        <v>-55.985099999999989</v>
      </c>
      <c r="M1134" s="254">
        <v>-25.106382978723403</v>
      </c>
    </row>
    <row r="1135" spans="1:13" ht="25.05" customHeight="1" x14ac:dyDescent="0.3">
      <c r="A1135" s="253" t="s">
        <v>1526</v>
      </c>
      <c r="B1135" s="252" t="s">
        <v>1554</v>
      </c>
      <c r="C1135" s="252">
        <v>0</v>
      </c>
      <c r="D1135" s="252" t="s">
        <v>113</v>
      </c>
      <c r="E1135" s="252" t="s">
        <v>20</v>
      </c>
      <c r="F1135" s="253" t="s">
        <v>250</v>
      </c>
      <c r="G1135" s="253" t="s">
        <v>251</v>
      </c>
      <c r="H1135" s="254">
        <v>3.4</v>
      </c>
      <c r="I1135" s="254">
        <v>3.4</v>
      </c>
      <c r="J1135" s="254">
        <v>32.262599999999999</v>
      </c>
      <c r="K1135" s="254">
        <v>32.262599999999999</v>
      </c>
      <c r="L1135" s="254">
        <v>0</v>
      </c>
      <c r="M1135" s="254">
        <v>0</v>
      </c>
    </row>
    <row r="1136" spans="1:13" ht="25.05" customHeight="1" x14ac:dyDescent="0.3">
      <c r="A1136" s="253" t="s">
        <v>1526</v>
      </c>
      <c r="B1136" s="252" t="s">
        <v>177</v>
      </c>
      <c r="C1136" s="252">
        <v>0</v>
      </c>
      <c r="D1136" s="252" t="s">
        <v>113</v>
      </c>
      <c r="E1136" s="252" t="s">
        <v>20</v>
      </c>
      <c r="F1136" s="253" t="s">
        <v>250</v>
      </c>
      <c r="G1136" s="253" t="s">
        <v>251</v>
      </c>
      <c r="H1136" s="254">
        <v>37</v>
      </c>
      <c r="I1136" s="254">
        <v>39</v>
      </c>
      <c r="J1136" s="254">
        <v>351.09299999999996</v>
      </c>
      <c r="K1136" s="254">
        <v>370.07099999999997</v>
      </c>
      <c r="L1136" s="254">
        <v>-18.978000000000009</v>
      </c>
      <c r="M1136" s="254">
        <v>-5.1282051282051304</v>
      </c>
    </row>
    <row r="1137" spans="1:13" ht="25.05" customHeight="1" x14ac:dyDescent="0.3">
      <c r="A1137" s="253" t="s">
        <v>1526</v>
      </c>
      <c r="B1137" s="252" t="s">
        <v>1555</v>
      </c>
      <c r="C1137" s="252">
        <v>0</v>
      </c>
      <c r="D1137" s="252" t="s">
        <v>113</v>
      </c>
      <c r="E1137" s="252" t="s">
        <v>20</v>
      </c>
      <c r="F1137" s="253" t="s">
        <v>250</v>
      </c>
      <c r="G1137" s="253" t="s">
        <v>251</v>
      </c>
      <c r="H1137" s="254">
        <v>293.7</v>
      </c>
      <c r="I1137" s="254">
        <v>325.90000000000003</v>
      </c>
      <c r="J1137" s="254">
        <v>2786.9192999999996</v>
      </c>
      <c r="K1137" s="254">
        <v>3092.4651000000003</v>
      </c>
      <c r="L1137" s="254">
        <v>-305.54580000000078</v>
      </c>
      <c r="M1137" s="254">
        <v>-9.8803313899969556</v>
      </c>
    </row>
    <row r="1138" spans="1:13" ht="25.05" customHeight="1" x14ac:dyDescent="0.3">
      <c r="A1138" s="253" t="s">
        <v>1526</v>
      </c>
      <c r="B1138" s="252" t="s">
        <v>1556</v>
      </c>
      <c r="C1138" s="252" t="s">
        <v>1557</v>
      </c>
      <c r="D1138" s="252" t="s">
        <v>169</v>
      </c>
      <c r="E1138" s="252" t="s">
        <v>46</v>
      </c>
      <c r="F1138" s="253" t="s">
        <v>250</v>
      </c>
      <c r="G1138" s="253" t="s">
        <v>251</v>
      </c>
      <c r="H1138" s="254">
        <v>30.1</v>
      </c>
      <c r="I1138" s="254">
        <v>29.2</v>
      </c>
      <c r="J1138" s="254">
        <v>285.6189</v>
      </c>
      <c r="K1138" s="254">
        <v>277.0788</v>
      </c>
      <c r="L1138" s="254">
        <v>8.5400999999999954</v>
      </c>
      <c r="M1138" s="254">
        <v>3.0821917808219164</v>
      </c>
    </row>
    <row r="1139" spans="1:13" ht="25.05" customHeight="1" x14ac:dyDescent="0.3">
      <c r="A1139" s="253" t="s">
        <v>1526</v>
      </c>
      <c r="B1139" s="252" t="s">
        <v>1558</v>
      </c>
      <c r="C1139" s="252" t="s">
        <v>1559</v>
      </c>
      <c r="D1139" s="252" t="s">
        <v>169</v>
      </c>
      <c r="E1139" s="252" t="s">
        <v>40</v>
      </c>
      <c r="F1139" s="253" t="s">
        <v>250</v>
      </c>
      <c r="G1139" s="253" t="s">
        <v>251</v>
      </c>
      <c r="H1139" s="254">
        <v>85.2</v>
      </c>
      <c r="I1139" s="254">
        <v>58.599999999999994</v>
      </c>
      <c r="J1139" s="254">
        <v>808.4627999999999</v>
      </c>
      <c r="K1139" s="254">
        <v>556.05539999999985</v>
      </c>
      <c r="L1139" s="254">
        <v>252.40740000000005</v>
      </c>
      <c r="M1139" s="254">
        <v>45.392491467576811</v>
      </c>
    </row>
    <row r="1140" spans="1:13" ht="25.05" customHeight="1" x14ac:dyDescent="0.3">
      <c r="A1140" s="253" t="s">
        <v>1526</v>
      </c>
      <c r="B1140" s="252" t="s">
        <v>1560</v>
      </c>
      <c r="C1140" s="252" t="s">
        <v>1561</v>
      </c>
      <c r="D1140" s="252" t="s">
        <v>169</v>
      </c>
      <c r="E1140" s="252" t="s">
        <v>40</v>
      </c>
      <c r="F1140" s="253" t="s">
        <v>250</v>
      </c>
      <c r="G1140" s="253" t="s">
        <v>251</v>
      </c>
      <c r="H1140" s="254">
        <v>4.0999999999999996</v>
      </c>
      <c r="I1140" s="254">
        <v>4.6999999999999993</v>
      </c>
      <c r="J1140" s="254">
        <v>38.904899999999998</v>
      </c>
      <c r="K1140" s="254">
        <v>44.598299999999988</v>
      </c>
      <c r="L1140" s="254">
        <v>-5.6933999999999898</v>
      </c>
      <c r="M1140" s="254">
        <v>-12.765957446808491</v>
      </c>
    </row>
    <row r="1141" spans="1:13" ht="25.05" customHeight="1" x14ac:dyDescent="0.3">
      <c r="A1141" s="253" t="s">
        <v>1526</v>
      </c>
      <c r="B1141" s="252" t="s">
        <v>1562</v>
      </c>
      <c r="C1141" s="252" t="s">
        <v>1563</v>
      </c>
      <c r="D1141" s="252" t="s">
        <v>169</v>
      </c>
      <c r="E1141" s="252" t="s">
        <v>40</v>
      </c>
      <c r="F1141" s="253" t="s">
        <v>250</v>
      </c>
      <c r="G1141" s="253" t="s">
        <v>251</v>
      </c>
      <c r="H1141" s="254">
        <v>22.6</v>
      </c>
      <c r="I1141" s="254">
        <v>22</v>
      </c>
      <c r="J1141" s="254">
        <v>214.45139999999998</v>
      </c>
      <c r="K1141" s="254">
        <v>208.75799999999998</v>
      </c>
      <c r="L1141" s="254">
        <v>5.6933999999999969</v>
      </c>
      <c r="M1141" s="254">
        <v>2.7272727272727262</v>
      </c>
    </row>
    <row r="1142" spans="1:13" ht="25.05" customHeight="1" x14ac:dyDescent="0.3">
      <c r="A1142" s="253" t="s">
        <v>1526</v>
      </c>
      <c r="B1142" s="252" t="s">
        <v>1564</v>
      </c>
      <c r="C1142" s="252">
        <v>0</v>
      </c>
      <c r="D1142" s="252" t="s">
        <v>169</v>
      </c>
      <c r="E1142" s="252" t="s">
        <v>20</v>
      </c>
      <c r="F1142" s="253" t="s">
        <v>250</v>
      </c>
      <c r="G1142" s="253" t="s">
        <v>251</v>
      </c>
      <c r="H1142" s="254">
        <v>142.1</v>
      </c>
      <c r="I1142" s="254">
        <v>114.5</v>
      </c>
      <c r="J1142" s="254">
        <v>1348.3869</v>
      </c>
      <c r="K1142" s="254">
        <v>1086.4904999999999</v>
      </c>
      <c r="L1142" s="254">
        <v>261.89640000000009</v>
      </c>
      <c r="M1142" s="254">
        <v>24.104803493449793</v>
      </c>
    </row>
    <row r="1143" spans="1:13" ht="25.05" customHeight="1" x14ac:dyDescent="0.3">
      <c r="A1143" s="253" t="s">
        <v>1526</v>
      </c>
      <c r="B1143" s="252" t="s">
        <v>1565</v>
      </c>
      <c r="C1143" s="252" t="s">
        <v>1565</v>
      </c>
      <c r="D1143" s="252" t="s">
        <v>43</v>
      </c>
      <c r="E1143" s="252" t="s">
        <v>40</v>
      </c>
      <c r="F1143" s="253" t="s">
        <v>250</v>
      </c>
      <c r="G1143" s="253" t="s">
        <v>251</v>
      </c>
      <c r="H1143" s="254">
        <v>321.39999999999998</v>
      </c>
      <c r="I1143" s="254">
        <v>289.70000000000005</v>
      </c>
      <c r="J1143" s="254">
        <v>3049.7645999999995</v>
      </c>
      <c r="K1143" s="254">
        <v>2748.9633000000003</v>
      </c>
      <c r="L1143" s="254">
        <v>300.80129999999917</v>
      </c>
      <c r="M1143" s="254">
        <v>10.942354159475288</v>
      </c>
    </row>
    <row r="1144" spans="1:13" ht="25.05" customHeight="1" x14ac:dyDescent="0.3">
      <c r="A1144" s="253" t="s">
        <v>1526</v>
      </c>
      <c r="B1144" s="252" t="s">
        <v>1566</v>
      </c>
      <c r="C1144" s="252" t="s">
        <v>1566</v>
      </c>
      <c r="D1144" s="252" t="s">
        <v>43</v>
      </c>
      <c r="E1144" s="252" t="s">
        <v>40</v>
      </c>
      <c r="F1144" s="253" t="s">
        <v>250</v>
      </c>
      <c r="G1144" s="253" t="s">
        <v>251</v>
      </c>
      <c r="H1144" s="254">
        <v>61.1</v>
      </c>
      <c r="I1144" s="254">
        <v>60.7</v>
      </c>
      <c r="J1144" s="254">
        <v>579.77789999999993</v>
      </c>
      <c r="K1144" s="254">
        <v>575.9822999999999</v>
      </c>
      <c r="L1144" s="254">
        <v>3.7956000000000358</v>
      </c>
      <c r="M1144" s="254">
        <v>0.65897858319605251</v>
      </c>
    </row>
    <row r="1145" spans="1:13" ht="25.05" customHeight="1" x14ac:dyDescent="0.3">
      <c r="A1145" s="253" t="s">
        <v>1526</v>
      </c>
      <c r="B1145" s="252" t="s">
        <v>177</v>
      </c>
      <c r="C1145" s="252">
        <v>0</v>
      </c>
      <c r="D1145" s="252" t="s">
        <v>43</v>
      </c>
      <c r="E1145" s="252" t="s">
        <v>20</v>
      </c>
      <c r="F1145" s="253" t="s">
        <v>250</v>
      </c>
      <c r="G1145" s="253" t="s">
        <v>251</v>
      </c>
      <c r="H1145" s="254">
        <v>28.2</v>
      </c>
      <c r="I1145" s="254">
        <v>27</v>
      </c>
      <c r="J1145" s="254">
        <v>267.58979999999997</v>
      </c>
      <c r="K1145" s="254">
        <v>256.20299999999997</v>
      </c>
      <c r="L1145" s="254">
        <v>11.386799999999994</v>
      </c>
      <c r="M1145" s="254">
        <v>4.4444444444444429</v>
      </c>
    </row>
    <row r="1146" spans="1:13" ht="25.05" customHeight="1" x14ac:dyDescent="0.3">
      <c r="A1146" s="253" t="s">
        <v>1526</v>
      </c>
      <c r="B1146" s="252" t="s">
        <v>1567</v>
      </c>
      <c r="C1146" s="252">
        <v>0</v>
      </c>
      <c r="D1146" s="252" t="s">
        <v>43</v>
      </c>
      <c r="E1146" s="252" t="s">
        <v>20</v>
      </c>
      <c r="F1146" s="253" t="s">
        <v>250</v>
      </c>
      <c r="G1146" s="253" t="s">
        <v>251</v>
      </c>
      <c r="H1146" s="254">
        <v>410.6</v>
      </c>
      <c r="I1146" s="254">
        <v>377.6</v>
      </c>
      <c r="J1146" s="254">
        <v>3896.1833999999994</v>
      </c>
      <c r="K1146" s="254">
        <v>3583.0463999999997</v>
      </c>
      <c r="L1146" s="254">
        <v>313.13699999999972</v>
      </c>
      <c r="M1146" s="254">
        <v>8.7394067796610102</v>
      </c>
    </row>
    <row r="1147" spans="1:13" ht="25.05" customHeight="1" x14ac:dyDescent="0.3">
      <c r="A1147" s="253" t="s">
        <v>1526</v>
      </c>
      <c r="B1147" s="252" t="s">
        <v>1568</v>
      </c>
      <c r="C1147" s="252" t="s">
        <v>871</v>
      </c>
      <c r="D1147" s="252" t="s">
        <v>49</v>
      </c>
      <c r="E1147" s="252" t="s">
        <v>46</v>
      </c>
      <c r="F1147" s="253" t="s">
        <v>250</v>
      </c>
      <c r="G1147" s="253" t="s">
        <v>251</v>
      </c>
      <c r="H1147" s="254">
        <v>103.4</v>
      </c>
      <c r="I1147" s="254">
        <v>118.3</v>
      </c>
      <c r="J1147" s="254">
        <v>981.16259999999988</v>
      </c>
      <c r="K1147" s="254">
        <v>1122.5486999999998</v>
      </c>
      <c r="L1147" s="254">
        <v>-141.38609999999994</v>
      </c>
      <c r="M1147" s="254">
        <v>-12.595097210481823</v>
      </c>
    </row>
    <row r="1148" spans="1:13" ht="25.05" customHeight="1" x14ac:dyDescent="0.3">
      <c r="A1148" s="253" t="s">
        <v>1526</v>
      </c>
      <c r="B1148" s="252" t="s">
        <v>268</v>
      </c>
      <c r="C1148" s="252" t="s">
        <v>268</v>
      </c>
      <c r="D1148" s="252" t="s">
        <v>49</v>
      </c>
      <c r="E1148" s="252" t="s">
        <v>46</v>
      </c>
      <c r="F1148" s="253" t="s">
        <v>250</v>
      </c>
      <c r="G1148" s="253" t="s">
        <v>251</v>
      </c>
      <c r="H1148" s="254">
        <v>101.7</v>
      </c>
      <c r="I1148" s="254">
        <v>108.1</v>
      </c>
      <c r="J1148" s="254">
        <v>965.03129999999987</v>
      </c>
      <c r="K1148" s="254">
        <v>1025.7609</v>
      </c>
      <c r="L1148" s="254">
        <v>-60.729600000000119</v>
      </c>
      <c r="M1148" s="254">
        <v>-5.920444033302509</v>
      </c>
    </row>
    <row r="1149" spans="1:13" ht="25.05" customHeight="1" x14ac:dyDescent="0.3">
      <c r="A1149" s="253" t="s">
        <v>1526</v>
      </c>
      <c r="B1149" s="252" t="s">
        <v>1569</v>
      </c>
      <c r="C1149" s="252" t="s">
        <v>1570</v>
      </c>
      <c r="D1149" s="252" t="s">
        <v>49</v>
      </c>
      <c r="E1149" s="252" t="s">
        <v>46</v>
      </c>
      <c r="F1149" s="253" t="s">
        <v>250</v>
      </c>
      <c r="G1149" s="253" t="s">
        <v>251</v>
      </c>
      <c r="H1149" s="254">
        <v>87.3</v>
      </c>
      <c r="I1149" s="254">
        <v>73.8</v>
      </c>
      <c r="J1149" s="254">
        <v>828.38969999999995</v>
      </c>
      <c r="K1149" s="254">
        <v>700.28819999999996</v>
      </c>
      <c r="L1149" s="254">
        <v>128.10149999999999</v>
      </c>
      <c r="M1149" s="254">
        <v>18.292682926829269</v>
      </c>
    </row>
    <row r="1150" spans="1:13" ht="25.05" customHeight="1" x14ac:dyDescent="0.3">
      <c r="A1150" s="253" t="s">
        <v>1526</v>
      </c>
      <c r="B1150" s="252" t="s">
        <v>1571</v>
      </c>
      <c r="C1150" s="252" t="s">
        <v>1572</v>
      </c>
      <c r="D1150" s="252" t="s">
        <v>49</v>
      </c>
      <c r="E1150" s="252" t="s">
        <v>40</v>
      </c>
      <c r="F1150" s="253" t="s">
        <v>250</v>
      </c>
      <c r="G1150" s="253" t="s">
        <v>251</v>
      </c>
      <c r="H1150" s="254">
        <v>57.6</v>
      </c>
      <c r="I1150" s="254">
        <v>50.3</v>
      </c>
      <c r="J1150" s="254">
        <v>546.56639999999993</v>
      </c>
      <c r="K1150" s="254">
        <v>477.29669999999993</v>
      </c>
      <c r="L1150" s="254">
        <v>69.2697</v>
      </c>
      <c r="M1150" s="254">
        <v>14.512922465208749</v>
      </c>
    </row>
    <row r="1151" spans="1:13" ht="25.05" customHeight="1" x14ac:dyDescent="0.3">
      <c r="A1151" s="253" t="s">
        <v>1526</v>
      </c>
      <c r="B1151" s="252" t="s">
        <v>1573</v>
      </c>
      <c r="C1151" s="252" t="s">
        <v>1574</v>
      </c>
      <c r="D1151" s="252" t="s">
        <v>49</v>
      </c>
      <c r="E1151" s="252" t="s">
        <v>46</v>
      </c>
      <c r="F1151" s="253" t="s">
        <v>250</v>
      </c>
      <c r="G1151" s="253" t="s">
        <v>251</v>
      </c>
      <c r="H1151" s="254">
        <v>35.200000000000003</v>
      </c>
      <c r="I1151" s="254">
        <v>29.9</v>
      </c>
      <c r="J1151" s="254">
        <v>334.01279999999997</v>
      </c>
      <c r="K1151" s="254">
        <v>283.72109999999998</v>
      </c>
      <c r="L1151" s="254">
        <v>50.291699999999992</v>
      </c>
      <c r="M1151" s="254">
        <v>17.725752508361204</v>
      </c>
    </row>
    <row r="1152" spans="1:13" ht="25.05" customHeight="1" x14ac:dyDescent="0.3">
      <c r="A1152" s="253" t="s">
        <v>1526</v>
      </c>
      <c r="B1152" s="252" t="s">
        <v>1575</v>
      </c>
      <c r="C1152" s="252" t="s">
        <v>1576</v>
      </c>
      <c r="D1152" s="252" t="s">
        <v>49</v>
      </c>
      <c r="E1152" s="252" t="s">
        <v>46</v>
      </c>
      <c r="F1152" s="253" t="s">
        <v>250</v>
      </c>
      <c r="G1152" s="253" t="s">
        <v>251</v>
      </c>
      <c r="H1152" s="254">
        <v>8.6</v>
      </c>
      <c r="I1152" s="254">
        <v>6.6</v>
      </c>
      <c r="J1152" s="254">
        <v>81.605399999999989</v>
      </c>
      <c r="K1152" s="254">
        <v>62.627399999999994</v>
      </c>
      <c r="L1152" s="254">
        <v>18.977999999999994</v>
      </c>
      <c r="M1152" s="254">
        <v>30.303030303030297</v>
      </c>
    </row>
    <row r="1153" spans="1:13" ht="25.05" customHeight="1" x14ac:dyDescent="0.3">
      <c r="A1153" s="253" t="s">
        <v>1526</v>
      </c>
      <c r="B1153" s="252" t="s">
        <v>144</v>
      </c>
      <c r="C1153" s="252" t="s">
        <v>145</v>
      </c>
      <c r="D1153" s="252" t="s">
        <v>49</v>
      </c>
      <c r="E1153" s="252" t="s">
        <v>40</v>
      </c>
      <c r="F1153" s="253" t="s">
        <v>250</v>
      </c>
      <c r="G1153" s="253" t="s">
        <v>251</v>
      </c>
      <c r="H1153" s="254">
        <v>23.3</v>
      </c>
      <c r="I1153" s="254">
        <v>21.9</v>
      </c>
      <c r="J1153" s="254">
        <v>221.09369999999998</v>
      </c>
      <c r="K1153" s="254">
        <v>207.80909999999997</v>
      </c>
      <c r="L1153" s="254">
        <v>13.284600000000012</v>
      </c>
      <c r="M1153" s="254">
        <v>6.3926940639269469</v>
      </c>
    </row>
    <row r="1154" spans="1:13" ht="25.05" customHeight="1" x14ac:dyDescent="0.3">
      <c r="A1154" s="253" t="s">
        <v>1526</v>
      </c>
      <c r="B1154" s="252" t="s">
        <v>177</v>
      </c>
      <c r="C1154" s="252">
        <v>0</v>
      </c>
      <c r="D1154" s="252" t="s">
        <v>49</v>
      </c>
      <c r="E1154" s="252" t="s">
        <v>20</v>
      </c>
      <c r="F1154" s="253" t="s">
        <v>250</v>
      </c>
      <c r="G1154" s="253" t="s">
        <v>251</v>
      </c>
      <c r="H1154" s="254">
        <v>4.3</v>
      </c>
      <c r="I1154" s="254">
        <v>1.7000000000000002</v>
      </c>
      <c r="J1154" s="254">
        <v>40.802699999999994</v>
      </c>
      <c r="K1154" s="254">
        <v>16.1313</v>
      </c>
      <c r="L1154" s="254">
        <v>24.671399999999995</v>
      </c>
      <c r="M1154" s="254">
        <v>152.9411764705882</v>
      </c>
    </row>
    <row r="1155" spans="1:13" ht="25.05" customHeight="1" x14ac:dyDescent="0.3">
      <c r="A1155" s="253" t="s">
        <v>1526</v>
      </c>
      <c r="B1155" s="252" t="s">
        <v>49</v>
      </c>
      <c r="C1155" s="252">
        <v>0</v>
      </c>
      <c r="D1155" s="252" t="s">
        <v>49</v>
      </c>
      <c r="E1155" s="252" t="s">
        <v>20</v>
      </c>
      <c r="F1155" s="253" t="s">
        <v>250</v>
      </c>
      <c r="G1155" s="253" t="s">
        <v>251</v>
      </c>
      <c r="H1155" s="254">
        <v>421.5</v>
      </c>
      <c r="I1155" s="254">
        <v>410.80000000000007</v>
      </c>
      <c r="J1155" s="254">
        <v>3999.6134999999995</v>
      </c>
      <c r="K1155" s="254">
        <v>3898.0812000000001</v>
      </c>
      <c r="L1155" s="254">
        <v>101.5322999999994</v>
      </c>
      <c r="M1155" s="254">
        <v>2.6046738072054372</v>
      </c>
    </row>
    <row r="1156" spans="1:13" ht="25.05" customHeight="1" x14ac:dyDescent="0.3">
      <c r="A1156" s="253" t="s">
        <v>1526</v>
      </c>
      <c r="B1156" s="252" t="s">
        <v>1493</v>
      </c>
      <c r="C1156" s="252" t="s">
        <v>1577</v>
      </c>
      <c r="D1156" s="252" t="s">
        <v>62</v>
      </c>
      <c r="E1156" s="252" t="s">
        <v>46</v>
      </c>
      <c r="F1156" s="253" t="s">
        <v>250</v>
      </c>
      <c r="G1156" s="253" t="s">
        <v>251</v>
      </c>
      <c r="H1156" s="254">
        <v>269.7</v>
      </c>
      <c r="I1156" s="254">
        <v>256.2</v>
      </c>
      <c r="J1156" s="254">
        <v>2559.1832999999997</v>
      </c>
      <c r="K1156" s="254">
        <v>2431.0817999999999</v>
      </c>
      <c r="L1156" s="254">
        <v>128.10149999999976</v>
      </c>
      <c r="M1156" s="254">
        <v>5.2693208430913252</v>
      </c>
    </row>
    <row r="1157" spans="1:13" ht="25.05" customHeight="1" x14ac:dyDescent="0.3">
      <c r="A1157" s="253" t="s">
        <v>1526</v>
      </c>
      <c r="B1157" s="252" t="s">
        <v>1578</v>
      </c>
      <c r="C1157" s="252" t="s">
        <v>942</v>
      </c>
      <c r="D1157" s="252" t="s">
        <v>62</v>
      </c>
      <c r="E1157" s="252" t="s">
        <v>46</v>
      </c>
      <c r="F1157" s="253" t="s">
        <v>250</v>
      </c>
      <c r="G1157" s="253" t="s">
        <v>251</v>
      </c>
      <c r="H1157" s="254">
        <v>69.099999999999994</v>
      </c>
      <c r="I1157" s="254">
        <v>67.2</v>
      </c>
      <c r="J1157" s="254">
        <v>655.68989999999997</v>
      </c>
      <c r="K1157" s="254">
        <v>637.66079999999999</v>
      </c>
      <c r="L1157" s="254">
        <v>18.029099999999971</v>
      </c>
      <c r="M1157" s="254">
        <v>2.8273809523809481</v>
      </c>
    </row>
    <row r="1158" spans="1:13" ht="25.05" customHeight="1" x14ac:dyDescent="0.3">
      <c r="A1158" s="253" t="s">
        <v>1526</v>
      </c>
      <c r="B1158" s="252" t="s">
        <v>1579</v>
      </c>
      <c r="C1158" s="252" t="s">
        <v>1580</v>
      </c>
      <c r="D1158" s="252" t="s">
        <v>62</v>
      </c>
      <c r="E1158" s="252" t="s">
        <v>46</v>
      </c>
      <c r="F1158" s="253" t="s">
        <v>250</v>
      </c>
      <c r="G1158" s="253" t="s">
        <v>251</v>
      </c>
      <c r="H1158" s="254">
        <v>22.7</v>
      </c>
      <c r="I1158" s="254">
        <v>20.399999999999999</v>
      </c>
      <c r="J1158" s="254">
        <v>215.40029999999999</v>
      </c>
      <c r="K1158" s="254">
        <v>193.57559999999998</v>
      </c>
      <c r="L1158" s="254">
        <v>21.824700000000007</v>
      </c>
      <c r="M1158" s="254">
        <v>11.274509803921573</v>
      </c>
    </row>
    <row r="1159" spans="1:13" ht="25.05" customHeight="1" x14ac:dyDescent="0.3">
      <c r="A1159" s="253" t="s">
        <v>1526</v>
      </c>
      <c r="B1159" s="252" t="s">
        <v>1581</v>
      </c>
      <c r="C1159" s="252" t="s">
        <v>1582</v>
      </c>
      <c r="D1159" s="252" t="s">
        <v>62</v>
      </c>
      <c r="E1159" s="252" t="s">
        <v>46</v>
      </c>
      <c r="F1159" s="253" t="s">
        <v>250</v>
      </c>
      <c r="G1159" s="253" t="s">
        <v>251</v>
      </c>
      <c r="H1159" s="254">
        <v>12.2</v>
      </c>
      <c r="I1159" s="254">
        <v>16</v>
      </c>
      <c r="J1159" s="254">
        <v>115.76579999999998</v>
      </c>
      <c r="K1159" s="254">
        <v>151.82399999999998</v>
      </c>
      <c r="L1159" s="254">
        <v>-36.058199999999999</v>
      </c>
      <c r="M1159" s="254">
        <v>-23.75</v>
      </c>
    </row>
    <row r="1160" spans="1:13" ht="25.05" customHeight="1" x14ac:dyDescent="0.3">
      <c r="A1160" s="253" t="s">
        <v>1526</v>
      </c>
      <c r="B1160" s="252" t="s">
        <v>1583</v>
      </c>
      <c r="C1160" s="252" t="s">
        <v>1584</v>
      </c>
      <c r="D1160" s="252" t="s">
        <v>62</v>
      </c>
      <c r="E1160" s="252" t="s">
        <v>46</v>
      </c>
      <c r="F1160" s="253" t="s">
        <v>250</v>
      </c>
      <c r="G1160" s="253" t="s">
        <v>251</v>
      </c>
      <c r="H1160" s="254">
        <v>10</v>
      </c>
      <c r="I1160" s="254">
        <v>17.600000000000001</v>
      </c>
      <c r="J1160" s="254">
        <v>94.889999999999986</v>
      </c>
      <c r="K1160" s="254">
        <v>167.00639999999999</v>
      </c>
      <c r="L1160" s="254">
        <v>-72.116399999999999</v>
      </c>
      <c r="M1160" s="254">
        <v>-43.18181818181818</v>
      </c>
    </row>
    <row r="1161" spans="1:13" ht="25.05" customHeight="1" x14ac:dyDescent="0.3">
      <c r="A1161" s="253" t="s">
        <v>1526</v>
      </c>
      <c r="B1161" s="252" t="s">
        <v>1491</v>
      </c>
      <c r="C1161" s="252" t="s">
        <v>1492</v>
      </c>
      <c r="D1161" s="252" t="s">
        <v>62</v>
      </c>
      <c r="E1161" s="252" t="s">
        <v>46</v>
      </c>
      <c r="F1161" s="253" t="s">
        <v>250</v>
      </c>
      <c r="G1161" s="253" t="s">
        <v>251</v>
      </c>
      <c r="H1161" s="254">
        <v>18.5</v>
      </c>
      <c r="I1161" s="254">
        <v>12.299999999999999</v>
      </c>
      <c r="J1161" s="254">
        <v>175.54649999999998</v>
      </c>
      <c r="K1161" s="254">
        <v>116.71469999999998</v>
      </c>
      <c r="L1161" s="254">
        <v>58.831800000000001</v>
      </c>
      <c r="M1161" s="254">
        <v>50.406504065040657</v>
      </c>
    </row>
    <row r="1162" spans="1:13" ht="25.05" customHeight="1" x14ac:dyDescent="0.3">
      <c r="A1162" s="253" t="s">
        <v>1526</v>
      </c>
      <c r="B1162" s="252" t="s">
        <v>177</v>
      </c>
      <c r="C1162" s="252">
        <v>0</v>
      </c>
      <c r="D1162" s="252" t="s">
        <v>62</v>
      </c>
      <c r="E1162" s="252" t="s">
        <v>20</v>
      </c>
      <c r="F1162" s="253" t="s">
        <v>250</v>
      </c>
      <c r="G1162" s="253" t="s">
        <v>251</v>
      </c>
      <c r="H1162" s="254">
        <v>21</v>
      </c>
      <c r="I1162" s="254">
        <v>21.8</v>
      </c>
      <c r="J1162" s="254">
        <v>199.26899999999998</v>
      </c>
      <c r="K1162" s="254">
        <v>206.86019999999999</v>
      </c>
      <c r="L1162" s="254">
        <v>-7.5912000000000148</v>
      </c>
      <c r="M1162" s="254">
        <v>-3.6697247706422091</v>
      </c>
    </row>
    <row r="1163" spans="1:13" ht="25.05" customHeight="1" x14ac:dyDescent="0.3">
      <c r="A1163" s="253" t="s">
        <v>1526</v>
      </c>
      <c r="B1163" s="252" t="s">
        <v>69</v>
      </c>
      <c r="C1163" s="252">
        <v>0</v>
      </c>
      <c r="D1163" s="252" t="s">
        <v>62</v>
      </c>
      <c r="E1163" s="252" t="s">
        <v>20</v>
      </c>
      <c r="F1163" s="253" t="s">
        <v>250</v>
      </c>
      <c r="G1163" s="253" t="s">
        <v>251</v>
      </c>
      <c r="H1163" s="254">
        <v>423.1</v>
      </c>
      <c r="I1163" s="254">
        <v>411.59999999999997</v>
      </c>
      <c r="J1163" s="254">
        <v>4014.7958999999996</v>
      </c>
      <c r="K1163" s="254">
        <v>3905.672399999999</v>
      </c>
      <c r="L1163" s="254">
        <v>109.1235000000006</v>
      </c>
      <c r="M1163" s="254">
        <v>2.7939747327502591</v>
      </c>
    </row>
    <row r="1164" spans="1:13" ht="25.05" customHeight="1" x14ac:dyDescent="0.3">
      <c r="A1164" s="253" t="s">
        <v>1526</v>
      </c>
      <c r="B1164" s="252" t="s">
        <v>1585</v>
      </c>
      <c r="C1164" s="252" t="s">
        <v>1586</v>
      </c>
      <c r="D1164" s="252" t="s">
        <v>129</v>
      </c>
      <c r="E1164" s="252" t="s">
        <v>46</v>
      </c>
      <c r="F1164" s="253" t="s">
        <v>250</v>
      </c>
      <c r="G1164" s="253" t="s">
        <v>251</v>
      </c>
      <c r="H1164" s="254">
        <v>80.5</v>
      </c>
      <c r="I1164" s="254">
        <v>74.099999999999994</v>
      </c>
      <c r="J1164" s="254">
        <v>763.86449999999991</v>
      </c>
      <c r="K1164" s="254">
        <v>703.1348999999999</v>
      </c>
      <c r="L1164" s="254">
        <v>60.729600000000005</v>
      </c>
      <c r="M1164" s="254">
        <v>8.6369770580296912</v>
      </c>
    </row>
    <row r="1165" spans="1:13" ht="25.05" customHeight="1" x14ac:dyDescent="0.3">
      <c r="A1165" s="253" t="s">
        <v>1526</v>
      </c>
      <c r="B1165" s="252" t="s">
        <v>1587</v>
      </c>
      <c r="C1165" s="252" t="s">
        <v>1588</v>
      </c>
      <c r="D1165" s="252" t="s">
        <v>201</v>
      </c>
      <c r="E1165" s="252" t="s">
        <v>46</v>
      </c>
      <c r="F1165" s="253" t="s">
        <v>250</v>
      </c>
      <c r="G1165" s="253" t="s">
        <v>251</v>
      </c>
      <c r="H1165" s="254">
        <v>58.5</v>
      </c>
      <c r="I1165" s="254">
        <v>56.4</v>
      </c>
      <c r="J1165" s="254">
        <v>555.10649999999998</v>
      </c>
      <c r="K1165" s="254">
        <v>535.17959999999994</v>
      </c>
      <c r="L1165" s="254">
        <v>19.926900000000046</v>
      </c>
      <c r="M1165" s="254">
        <v>3.7234042553191578</v>
      </c>
    </row>
    <row r="1166" spans="1:13" ht="25.05" customHeight="1" x14ac:dyDescent="0.3">
      <c r="A1166" s="253" t="s">
        <v>1526</v>
      </c>
      <c r="B1166" s="252" t="s">
        <v>1589</v>
      </c>
      <c r="C1166" s="252" t="s">
        <v>298</v>
      </c>
      <c r="D1166" s="252" t="s">
        <v>43</v>
      </c>
      <c r="E1166" s="252" t="s">
        <v>46</v>
      </c>
      <c r="F1166" s="253" t="s">
        <v>250</v>
      </c>
      <c r="G1166" s="253" t="s">
        <v>251</v>
      </c>
      <c r="H1166" s="254">
        <v>3.4</v>
      </c>
      <c r="I1166" s="254">
        <v>25.999999999999996</v>
      </c>
      <c r="J1166" s="254">
        <v>32.262599999999999</v>
      </c>
      <c r="K1166" s="254">
        <v>246.71399999999994</v>
      </c>
      <c r="L1166" s="254">
        <v>-214.45139999999995</v>
      </c>
      <c r="M1166" s="254">
        <v>-86.92307692307692</v>
      </c>
    </row>
    <row r="1167" spans="1:13" ht="25.05" customHeight="1" x14ac:dyDescent="0.3">
      <c r="A1167" s="253" t="s">
        <v>1526</v>
      </c>
      <c r="B1167" s="252" t="s">
        <v>1590</v>
      </c>
      <c r="C1167" s="252" t="s">
        <v>1591</v>
      </c>
      <c r="D1167" s="252" t="s">
        <v>89</v>
      </c>
      <c r="E1167" s="252" t="s">
        <v>46</v>
      </c>
      <c r="F1167" s="253" t="s">
        <v>250</v>
      </c>
      <c r="G1167" s="253" t="s">
        <v>251</v>
      </c>
      <c r="H1167" s="254">
        <v>6.8</v>
      </c>
      <c r="I1167" s="254">
        <v>26.200000000000003</v>
      </c>
      <c r="J1167" s="254">
        <v>64.525199999999998</v>
      </c>
      <c r="K1167" s="254">
        <v>248.61180000000002</v>
      </c>
      <c r="L1167" s="254">
        <v>-184.08660000000003</v>
      </c>
      <c r="M1167" s="254">
        <v>-74.045801526717568</v>
      </c>
    </row>
    <row r="1168" spans="1:13" ht="25.05" customHeight="1" x14ac:dyDescent="0.3">
      <c r="A1168" s="253" t="s">
        <v>1526</v>
      </c>
      <c r="B1168" s="252" t="s">
        <v>1592</v>
      </c>
      <c r="C1168" s="252" t="s">
        <v>1593</v>
      </c>
      <c r="D1168" s="252" t="s">
        <v>129</v>
      </c>
      <c r="E1168" s="252" t="s">
        <v>46</v>
      </c>
      <c r="F1168" s="253" t="s">
        <v>250</v>
      </c>
      <c r="G1168" s="253" t="s">
        <v>251</v>
      </c>
      <c r="H1168" s="254">
        <v>31.5</v>
      </c>
      <c r="I1168" s="254">
        <v>31.400000000000002</v>
      </c>
      <c r="J1168" s="254">
        <v>298.90349999999995</v>
      </c>
      <c r="K1168" s="254">
        <v>297.95460000000003</v>
      </c>
      <c r="L1168" s="254">
        <v>0.94889999999992369</v>
      </c>
      <c r="M1168" s="254">
        <v>0.31847133757959217</v>
      </c>
    </row>
    <row r="1169" spans="1:13" ht="25.05" customHeight="1" x14ac:dyDescent="0.3">
      <c r="A1169" s="253" t="s">
        <v>1526</v>
      </c>
      <c r="B1169" s="252" t="s">
        <v>177</v>
      </c>
      <c r="C1169" s="252">
        <v>0</v>
      </c>
      <c r="D1169" s="252">
        <v>0</v>
      </c>
      <c r="E1169" s="252" t="s">
        <v>20</v>
      </c>
      <c r="F1169" s="253" t="s">
        <v>250</v>
      </c>
      <c r="G1169" s="253" t="s">
        <v>251</v>
      </c>
      <c r="H1169" s="254">
        <v>413</v>
      </c>
      <c r="I1169" s="254">
        <v>528</v>
      </c>
      <c r="J1169" s="254">
        <v>3918.9569999999999</v>
      </c>
      <c r="K1169" s="254">
        <v>5010.192</v>
      </c>
      <c r="L1169" s="254">
        <v>-1091.2350000000001</v>
      </c>
      <c r="M1169" s="254">
        <v>-21.780303030303035</v>
      </c>
    </row>
    <row r="1170" spans="1:13" ht="25.05" customHeight="1" x14ac:dyDescent="0.3">
      <c r="A1170" s="253" t="s">
        <v>1526</v>
      </c>
      <c r="B1170" s="252" t="s">
        <v>101</v>
      </c>
      <c r="C1170" s="252">
        <v>0</v>
      </c>
      <c r="D1170" s="252">
        <v>0</v>
      </c>
      <c r="E1170" s="252" t="s">
        <v>20</v>
      </c>
      <c r="F1170" s="253" t="s">
        <v>250</v>
      </c>
      <c r="G1170" s="253" t="s">
        <v>251</v>
      </c>
      <c r="H1170" s="254">
        <v>3199.3</v>
      </c>
      <c r="I1170" s="254">
        <v>3236.6</v>
      </c>
      <c r="J1170" s="254">
        <v>30358.157699999996</v>
      </c>
      <c r="K1170" s="254">
        <v>30712.097399999999</v>
      </c>
      <c r="L1170" s="254">
        <v>-353.93970000000263</v>
      </c>
      <c r="M1170" s="254">
        <v>-1.1524439226348724</v>
      </c>
    </row>
    <row r="1171" spans="1:13" ht="25.05" customHeight="1" x14ac:dyDescent="0.3">
      <c r="A1171" s="253" t="s">
        <v>1594</v>
      </c>
      <c r="B1171" s="252" t="s">
        <v>1810</v>
      </c>
      <c r="C1171" s="252">
        <v>0</v>
      </c>
      <c r="D1171" s="252">
        <v>0</v>
      </c>
      <c r="E1171" s="252" t="s">
        <v>20</v>
      </c>
      <c r="F1171" s="253" t="s">
        <v>21</v>
      </c>
      <c r="G1171" s="253" t="s">
        <v>22</v>
      </c>
      <c r="H1171" s="254">
        <v>9315</v>
      </c>
      <c r="I1171" s="254">
        <v>9326</v>
      </c>
      <c r="J1171" s="254">
        <v>9315</v>
      </c>
      <c r="K1171" s="254">
        <v>9326</v>
      </c>
      <c r="L1171" s="254">
        <v>-11</v>
      </c>
      <c r="M1171" s="254">
        <v>-0.11794981771391809</v>
      </c>
    </row>
    <row r="1172" spans="1:13" ht="25.05" customHeight="1" x14ac:dyDescent="0.3">
      <c r="A1172" s="253" t="s">
        <v>1594</v>
      </c>
      <c r="B1172" s="252" t="s">
        <v>1595</v>
      </c>
      <c r="C1172" s="252" t="s">
        <v>1596</v>
      </c>
      <c r="D1172" s="252" t="s">
        <v>62</v>
      </c>
      <c r="E1172" s="252" t="s">
        <v>40</v>
      </c>
      <c r="F1172" s="253" t="s">
        <v>21</v>
      </c>
      <c r="G1172" s="253" t="s">
        <v>22</v>
      </c>
      <c r="H1172" s="254">
        <v>165</v>
      </c>
      <c r="I1172" s="254">
        <v>96</v>
      </c>
      <c r="J1172" s="254">
        <v>165</v>
      </c>
      <c r="K1172" s="254">
        <v>96</v>
      </c>
      <c r="L1172" s="254">
        <v>69</v>
      </c>
      <c r="M1172" s="254">
        <v>71.875</v>
      </c>
    </row>
    <row r="1173" spans="1:13" ht="25.05" customHeight="1" x14ac:dyDescent="0.3">
      <c r="A1173" s="253" t="s">
        <v>1594</v>
      </c>
      <c r="B1173" s="252" t="s">
        <v>1597</v>
      </c>
      <c r="C1173" s="252" t="s">
        <v>1598</v>
      </c>
      <c r="D1173" s="252" t="s">
        <v>62</v>
      </c>
      <c r="E1173" s="252" t="s">
        <v>46</v>
      </c>
      <c r="F1173" s="253" t="s">
        <v>21</v>
      </c>
      <c r="G1173" s="253" t="s">
        <v>22</v>
      </c>
      <c r="H1173" s="254">
        <v>637</v>
      </c>
      <c r="I1173" s="254">
        <v>412</v>
      </c>
      <c r="J1173" s="254">
        <v>637</v>
      </c>
      <c r="K1173" s="254">
        <v>412</v>
      </c>
      <c r="L1173" s="254">
        <v>225</v>
      </c>
      <c r="M1173" s="254">
        <v>54.61165048543689</v>
      </c>
    </row>
    <row r="1174" spans="1:13" ht="25.05" customHeight="1" x14ac:dyDescent="0.3">
      <c r="A1174" s="253" t="s">
        <v>1594</v>
      </c>
      <c r="B1174" s="252" t="s">
        <v>1599</v>
      </c>
      <c r="C1174" s="252" t="s">
        <v>1600</v>
      </c>
      <c r="D1174" s="252" t="s">
        <v>49</v>
      </c>
      <c r="E1174" s="252" t="s">
        <v>46</v>
      </c>
      <c r="F1174" s="253" t="s">
        <v>21</v>
      </c>
      <c r="G1174" s="253" t="s">
        <v>22</v>
      </c>
      <c r="H1174" s="254">
        <v>415</v>
      </c>
      <c r="I1174" s="254">
        <v>496</v>
      </c>
      <c r="J1174" s="254">
        <v>415</v>
      </c>
      <c r="K1174" s="254">
        <v>496</v>
      </c>
      <c r="L1174" s="254">
        <v>-81</v>
      </c>
      <c r="M1174" s="254">
        <v>-16.33064516129032</v>
      </c>
    </row>
    <row r="1175" spans="1:13" ht="25.05" customHeight="1" x14ac:dyDescent="0.3">
      <c r="A1175" s="253" t="s">
        <v>1594</v>
      </c>
      <c r="B1175" s="252" t="s">
        <v>1601</v>
      </c>
      <c r="C1175" s="252" t="s">
        <v>1602</v>
      </c>
      <c r="D1175" s="252" t="s">
        <v>62</v>
      </c>
      <c r="E1175" s="252" t="s">
        <v>40</v>
      </c>
      <c r="F1175" s="253" t="s">
        <v>21</v>
      </c>
      <c r="G1175" s="253" t="s">
        <v>22</v>
      </c>
      <c r="H1175" s="254">
        <v>1337</v>
      </c>
      <c r="I1175" s="254">
        <v>1512</v>
      </c>
      <c r="J1175" s="254">
        <v>1337</v>
      </c>
      <c r="K1175" s="254">
        <v>1512</v>
      </c>
      <c r="L1175" s="254">
        <v>-175</v>
      </c>
      <c r="M1175" s="254">
        <v>-11.574074074074074</v>
      </c>
    </row>
    <row r="1176" spans="1:13" ht="25.05" customHeight="1" x14ac:dyDescent="0.3">
      <c r="A1176" s="253" t="s">
        <v>1594</v>
      </c>
      <c r="B1176" s="252" t="s">
        <v>1603</v>
      </c>
      <c r="C1176" s="252" t="s">
        <v>1604</v>
      </c>
      <c r="D1176" s="252" t="s">
        <v>221</v>
      </c>
      <c r="E1176" s="252" t="s">
        <v>46</v>
      </c>
      <c r="F1176" s="253" t="s">
        <v>21</v>
      </c>
      <c r="G1176" s="253" t="s">
        <v>22</v>
      </c>
      <c r="H1176" s="254">
        <v>241</v>
      </c>
      <c r="I1176" s="254">
        <v>274</v>
      </c>
      <c r="J1176" s="254">
        <v>241</v>
      </c>
      <c r="K1176" s="254">
        <v>274</v>
      </c>
      <c r="L1176" s="254">
        <v>-33</v>
      </c>
      <c r="M1176" s="254">
        <v>-12.043795620437956</v>
      </c>
    </row>
    <row r="1177" spans="1:13" ht="25.05" customHeight="1" x14ac:dyDescent="0.3">
      <c r="A1177" s="253" t="s">
        <v>1594</v>
      </c>
      <c r="B1177" s="252" t="s">
        <v>1605</v>
      </c>
      <c r="C1177" s="252" t="s">
        <v>1606</v>
      </c>
      <c r="D1177" s="252" t="s">
        <v>221</v>
      </c>
      <c r="E1177" s="252" t="s">
        <v>46</v>
      </c>
      <c r="F1177" s="253" t="s">
        <v>21</v>
      </c>
      <c r="G1177" s="253" t="s">
        <v>22</v>
      </c>
      <c r="H1177" s="254">
        <v>179</v>
      </c>
      <c r="I1177" s="254">
        <v>250</v>
      </c>
      <c r="J1177" s="254">
        <v>179</v>
      </c>
      <c r="K1177" s="254">
        <v>250</v>
      </c>
      <c r="L1177" s="254">
        <v>-71</v>
      </c>
      <c r="M1177" s="254">
        <v>-28.4</v>
      </c>
    </row>
    <row r="1178" spans="1:13" ht="25.05" customHeight="1" x14ac:dyDescent="0.3">
      <c r="A1178" s="253" t="s">
        <v>1594</v>
      </c>
      <c r="B1178" s="252" t="s">
        <v>1607</v>
      </c>
      <c r="C1178" s="252">
        <v>0</v>
      </c>
      <c r="D1178" s="252">
        <v>0</v>
      </c>
      <c r="E1178" s="252" t="s">
        <v>20</v>
      </c>
      <c r="F1178" s="253" t="s">
        <v>21</v>
      </c>
      <c r="G1178" s="253" t="s">
        <v>22</v>
      </c>
      <c r="H1178" s="254">
        <v>1462</v>
      </c>
      <c r="I1178" s="254">
        <v>1492</v>
      </c>
      <c r="J1178" s="254">
        <v>1462</v>
      </c>
      <c r="K1178" s="254">
        <v>1492</v>
      </c>
      <c r="L1178" s="254">
        <v>-30</v>
      </c>
      <c r="M1178" s="254">
        <v>-2.0107238605898123</v>
      </c>
    </row>
    <row r="1179" spans="1:13" ht="25.05" customHeight="1" x14ac:dyDescent="0.3">
      <c r="A1179" s="253" t="s">
        <v>1594</v>
      </c>
      <c r="B1179" s="252" t="s">
        <v>1608</v>
      </c>
      <c r="C1179" s="252">
        <v>0</v>
      </c>
      <c r="D1179" s="252" t="s">
        <v>221</v>
      </c>
      <c r="E1179" s="252" t="s">
        <v>20</v>
      </c>
      <c r="F1179" s="253" t="s">
        <v>21</v>
      </c>
      <c r="G1179" s="253" t="s">
        <v>22</v>
      </c>
      <c r="H1179" s="254">
        <v>353</v>
      </c>
      <c r="I1179" s="254">
        <v>354</v>
      </c>
      <c r="J1179" s="254">
        <v>353</v>
      </c>
      <c r="K1179" s="254">
        <v>354</v>
      </c>
      <c r="L1179" s="254">
        <v>-1</v>
      </c>
      <c r="M1179" s="254">
        <v>-0.2824858757062147</v>
      </c>
    </row>
    <row r="1180" spans="1:13" ht="25.05" customHeight="1" x14ac:dyDescent="0.3">
      <c r="A1180" s="253" t="s">
        <v>1594</v>
      </c>
      <c r="B1180" s="252" t="s">
        <v>23</v>
      </c>
      <c r="C1180" s="252">
        <v>0</v>
      </c>
      <c r="D1180" s="252">
        <v>0</v>
      </c>
      <c r="E1180" s="252" t="s">
        <v>20</v>
      </c>
      <c r="F1180" s="253" t="s">
        <v>21</v>
      </c>
      <c r="G1180" s="253" t="s">
        <v>22</v>
      </c>
      <c r="H1180" s="254">
        <v>1253</v>
      </c>
      <c r="I1180" s="254">
        <v>1356</v>
      </c>
      <c r="J1180" s="254">
        <v>1253</v>
      </c>
      <c r="K1180" s="254">
        <v>1356</v>
      </c>
      <c r="L1180" s="254">
        <v>-103</v>
      </c>
      <c r="M1180" s="254">
        <v>-7.5958702064896757</v>
      </c>
    </row>
    <row r="1181" spans="1:13" ht="25.05" customHeight="1" x14ac:dyDescent="0.3">
      <c r="A1181" s="267" t="s">
        <v>1594</v>
      </c>
      <c r="B1181" s="268" t="s">
        <v>38</v>
      </c>
      <c r="C1181" s="268">
        <v>0</v>
      </c>
      <c r="D1181" s="268">
        <v>0</v>
      </c>
      <c r="E1181" s="268" t="s">
        <v>20</v>
      </c>
      <c r="F1181" s="267" t="s">
        <v>21</v>
      </c>
      <c r="G1181" s="267" t="s">
        <v>22</v>
      </c>
      <c r="H1181" s="269">
        <v>16659</v>
      </c>
      <c r="I1181" s="269">
        <v>16887</v>
      </c>
      <c r="J1181" s="269">
        <v>16659</v>
      </c>
      <c r="K1181" s="269">
        <v>16887</v>
      </c>
      <c r="L1181" s="269">
        <v>-228</v>
      </c>
      <c r="M1181" s="269">
        <v>-1.3501510037306805</v>
      </c>
    </row>
    <row r="1182" spans="1:13" ht="25.05" customHeight="1" x14ac:dyDescent="0.3">
      <c r="A1182" s="253" t="s">
        <v>1609</v>
      </c>
      <c r="B1182" s="252" t="s">
        <v>280</v>
      </c>
      <c r="C1182" s="252" t="s">
        <v>1812</v>
      </c>
      <c r="D1182" s="252" t="s">
        <v>89</v>
      </c>
      <c r="E1182" s="252" t="s">
        <v>40</v>
      </c>
      <c r="F1182" s="253" t="s">
        <v>316</v>
      </c>
      <c r="G1182" s="253" t="s">
        <v>22</v>
      </c>
      <c r="H1182" s="254">
        <v>1799</v>
      </c>
      <c r="I1182" s="254">
        <v>1712</v>
      </c>
      <c r="J1182" s="254">
        <v>2176.0614049999999</v>
      </c>
      <c r="K1182" s="254">
        <v>2070.8266399999998</v>
      </c>
      <c r="L1182" s="254">
        <v>105.23476500000015</v>
      </c>
      <c r="M1182" s="254">
        <v>5.0817757009345872</v>
      </c>
    </row>
    <row r="1183" spans="1:13" ht="25.05" customHeight="1" x14ac:dyDescent="0.3">
      <c r="A1183" s="253" t="s">
        <v>1609</v>
      </c>
      <c r="B1183" s="252" t="s">
        <v>519</v>
      </c>
      <c r="C1183" s="252" t="s">
        <v>520</v>
      </c>
      <c r="D1183" s="252" t="s">
        <v>62</v>
      </c>
      <c r="E1183" s="252" t="s">
        <v>46</v>
      </c>
      <c r="F1183" s="253" t="s">
        <v>316</v>
      </c>
      <c r="G1183" s="253" t="s">
        <v>22</v>
      </c>
      <c r="H1183" s="254">
        <v>1451</v>
      </c>
      <c r="I1183" s="254">
        <v>1322</v>
      </c>
      <c r="J1183" s="254">
        <v>1755.122345</v>
      </c>
      <c r="K1183" s="254">
        <v>1599.0845899999999</v>
      </c>
      <c r="L1183" s="254">
        <v>156.03775500000006</v>
      </c>
      <c r="M1183" s="254">
        <v>9.7579425113464477</v>
      </c>
    </row>
    <row r="1184" spans="1:13" ht="25.05" customHeight="1" x14ac:dyDescent="0.3">
      <c r="A1184" s="253" t="s">
        <v>1609</v>
      </c>
      <c r="B1184" s="252" t="s">
        <v>1610</v>
      </c>
      <c r="C1184" s="252" t="s">
        <v>1222</v>
      </c>
      <c r="D1184" s="252" t="s">
        <v>62</v>
      </c>
      <c r="E1184" s="252" t="s">
        <v>46</v>
      </c>
      <c r="F1184" s="253" t="s">
        <v>316</v>
      </c>
      <c r="G1184" s="253" t="s">
        <v>22</v>
      </c>
      <c r="H1184" s="254">
        <v>788</v>
      </c>
      <c r="I1184" s="254">
        <v>770</v>
      </c>
      <c r="J1184" s="254">
        <v>953.16085999999996</v>
      </c>
      <c r="K1184" s="254">
        <v>931.38815</v>
      </c>
      <c r="L1184" s="254">
        <v>21.772709999999961</v>
      </c>
      <c r="M1184" s="254">
        <v>2.3376623376623336</v>
      </c>
    </row>
    <row r="1185" spans="1:13" ht="25.05" customHeight="1" x14ac:dyDescent="0.3">
      <c r="A1185" s="253" t="s">
        <v>1609</v>
      </c>
      <c r="B1185" s="252" t="s">
        <v>1611</v>
      </c>
      <c r="C1185" s="252" t="s">
        <v>1612</v>
      </c>
      <c r="D1185" s="252" t="s">
        <v>62</v>
      </c>
      <c r="E1185" s="252" t="s">
        <v>46</v>
      </c>
      <c r="F1185" s="253" t="s">
        <v>316</v>
      </c>
      <c r="G1185" s="253" t="s">
        <v>22</v>
      </c>
      <c r="H1185" s="254">
        <v>288</v>
      </c>
      <c r="I1185" s="254">
        <v>221</v>
      </c>
      <c r="J1185" s="254">
        <v>348.36336</v>
      </c>
      <c r="K1185" s="254">
        <v>267.32049499999999</v>
      </c>
      <c r="L1185" s="254">
        <v>81.042865000000006</v>
      </c>
      <c r="M1185" s="254">
        <v>30.316742081447966</v>
      </c>
    </row>
    <row r="1186" spans="1:13" ht="25.05" customHeight="1" x14ac:dyDescent="0.3">
      <c r="A1186" s="253" t="s">
        <v>1609</v>
      </c>
      <c r="B1186" s="252" t="s">
        <v>1613</v>
      </c>
      <c r="C1186" s="252" t="s">
        <v>1224</v>
      </c>
      <c r="D1186" s="252" t="s">
        <v>62</v>
      </c>
      <c r="E1186" s="252" t="s">
        <v>46</v>
      </c>
      <c r="F1186" s="253" t="s">
        <v>316</v>
      </c>
      <c r="G1186" s="253" t="s">
        <v>22</v>
      </c>
      <c r="H1186" s="254">
        <v>311</v>
      </c>
      <c r="I1186" s="254">
        <v>319</v>
      </c>
      <c r="J1186" s="254">
        <v>376.18404499999997</v>
      </c>
      <c r="K1186" s="254">
        <v>385.86080499999997</v>
      </c>
      <c r="L1186" s="254">
        <v>-9.6767600000000016</v>
      </c>
      <c r="M1186" s="254">
        <v>-2.5078369905956119</v>
      </c>
    </row>
    <row r="1187" spans="1:13" ht="25.05" customHeight="1" x14ac:dyDescent="0.3">
      <c r="A1187" s="253" t="s">
        <v>1609</v>
      </c>
      <c r="B1187" s="252" t="s">
        <v>1614</v>
      </c>
      <c r="C1187" s="252" t="s">
        <v>1615</v>
      </c>
      <c r="D1187" s="252" t="s">
        <v>62</v>
      </c>
      <c r="E1187" s="252" t="s">
        <v>46</v>
      </c>
      <c r="F1187" s="253" t="s">
        <v>316</v>
      </c>
      <c r="G1187" s="253" t="s">
        <v>22</v>
      </c>
      <c r="H1187" s="254">
        <v>26</v>
      </c>
      <c r="I1187" s="254">
        <v>0</v>
      </c>
      <c r="J1187" s="254">
        <v>31.449469999999998</v>
      </c>
      <c r="K1187" s="254">
        <v>0</v>
      </c>
      <c r="L1187" s="254">
        <v>31.449469999999998</v>
      </c>
      <c r="M1187" s="254" t="s">
        <v>67</v>
      </c>
    </row>
    <row r="1188" spans="1:13" ht="25.05" customHeight="1" x14ac:dyDescent="0.3">
      <c r="A1188" s="253" t="s">
        <v>1609</v>
      </c>
      <c r="B1188" s="252" t="s">
        <v>124</v>
      </c>
      <c r="C1188" s="252" t="s">
        <v>1616</v>
      </c>
      <c r="D1188" s="252" t="s">
        <v>126</v>
      </c>
      <c r="E1188" s="252" t="s">
        <v>40</v>
      </c>
      <c r="F1188" s="253" t="s">
        <v>316</v>
      </c>
      <c r="G1188" s="253" t="s">
        <v>22</v>
      </c>
      <c r="H1188" s="254">
        <v>2</v>
      </c>
      <c r="I1188" s="254">
        <v>0</v>
      </c>
      <c r="J1188" s="254">
        <v>2.41919</v>
      </c>
      <c r="K1188" s="254">
        <v>0</v>
      </c>
      <c r="L1188" s="254">
        <v>2.41919</v>
      </c>
      <c r="M1188" s="254" t="s">
        <v>67</v>
      </c>
    </row>
    <row r="1189" spans="1:13" ht="25.05" customHeight="1" x14ac:dyDescent="0.3">
      <c r="A1189" s="253" t="s">
        <v>1609</v>
      </c>
      <c r="B1189" s="252" t="s">
        <v>487</v>
      </c>
      <c r="C1189" s="252">
        <v>0</v>
      </c>
      <c r="D1189" s="252">
        <v>0</v>
      </c>
      <c r="E1189" s="252" t="s">
        <v>20</v>
      </c>
      <c r="F1189" s="253" t="s">
        <v>316</v>
      </c>
      <c r="G1189" s="253" t="s">
        <v>22</v>
      </c>
      <c r="H1189" s="254">
        <v>358</v>
      </c>
      <c r="I1189" s="254">
        <v>440</v>
      </c>
      <c r="J1189" s="254">
        <v>433.03501</v>
      </c>
      <c r="K1189" s="254">
        <v>532.22180000000003</v>
      </c>
      <c r="L1189" s="254">
        <v>-99.18679000000003</v>
      </c>
      <c r="M1189" s="254">
        <v>-18.63636363636364</v>
      </c>
    </row>
    <row r="1190" spans="1:13" ht="25.05" customHeight="1" x14ac:dyDescent="0.3">
      <c r="A1190" s="253" t="s">
        <v>1609</v>
      </c>
      <c r="B1190" s="252" t="s">
        <v>1617</v>
      </c>
      <c r="C1190" s="252" t="s">
        <v>1618</v>
      </c>
      <c r="D1190" s="252" t="s">
        <v>43</v>
      </c>
      <c r="E1190" s="252" t="s">
        <v>46</v>
      </c>
      <c r="F1190" s="253" t="s">
        <v>316</v>
      </c>
      <c r="G1190" s="253" t="s">
        <v>22</v>
      </c>
      <c r="H1190" s="254">
        <v>75</v>
      </c>
      <c r="I1190" s="254">
        <v>89</v>
      </c>
      <c r="J1190" s="254">
        <v>90.719624999999994</v>
      </c>
      <c r="K1190" s="254">
        <v>107.653955</v>
      </c>
      <c r="L1190" s="254">
        <v>-16.934330000000003</v>
      </c>
      <c r="M1190" s="254">
        <v>-15.730337078651688</v>
      </c>
    </row>
    <row r="1191" spans="1:13" ht="25.05" customHeight="1" x14ac:dyDescent="0.3">
      <c r="A1191" s="253" t="s">
        <v>1609</v>
      </c>
      <c r="B1191" s="252" t="s">
        <v>1470</v>
      </c>
      <c r="C1191" s="252" t="s">
        <v>1471</v>
      </c>
      <c r="D1191" s="252" t="s">
        <v>43</v>
      </c>
      <c r="E1191" s="252" t="s">
        <v>46</v>
      </c>
      <c r="F1191" s="253" t="s">
        <v>316</v>
      </c>
      <c r="G1191" s="253" t="s">
        <v>22</v>
      </c>
      <c r="H1191" s="254">
        <v>74</v>
      </c>
      <c r="I1191" s="254">
        <v>101</v>
      </c>
      <c r="J1191" s="254">
        <v>89.51003</v>
      </c>
      <c r="K1191" s="254">
        <v>122.169095</v>
      </c>
      <c r="L1191" s="254">
        <v>-32.659064999999998</v>
      </c>
      <c r="M1191" s="254">
        <v>-26.732673267326735</v>
      </c>
    </row>
    <row r="1192" spans="1:13" ht="25.05" customHeight="1" x14ac:dyDescent="0.3">
      <c r="A1192" s="253" t="s">
        <v>1609</v>
      </c>
      <c r="B1192" s="252" t="s">
        <v>177</v>
      </c>
      <c r="C1192" s="252">
        <v>0</v>
      </c>
      <c r="D1192" s="252">
        <v>0</v>
      </c>
      <c r="E1192" s="252" t="s">
        <v>20</v>
      </c>
      <c r="F1192" s="253" t="s">
        <v>316</v>
      </c>
      <c r="G1192" s="253" t="s">
        <v>22</v>
      </c>
      <c r="H1192" s="254">
        <v>237</v>
      </c>
      <c r="I1192" s="254">
        <v>250</v>
      </c>
      <c r="J1192" s="254">
        <v>286.674015</v>
      </c>
      <c r="K1192" s="254">
        <v>302.39875000000001</v>
      </c>
      <c r="L1192" s="254">
        <v>-15.72473500000001</v>
      </c>
      <c r="M1192" s="254">
        <v>-5.2000000000000028</v>
      </c>
    </row>
    <row r="1193" spans="1:13" ht="25.05" customHeight="1" x14ac:dyDescent="0.3">
      <c r="A1193" s="253" t="s">
        <v>1609</v>
      </c>
      <c r="B1193" s="252" t="s">
        <v>1619</v>
      </c>
      <c r="C1193" s="252">
        <v>0</v>
      </c>
      <c r="D1193" s="252">
        <v>0</v>
      </c>
      <c r="E1193" s="252" t="s">
        <v>20</v>
      </c>
      <c r="F1193" s="253" t="s">
        <v>316</v>
      </c>
      <c r="G1193" s="253" t="s">
        <v>22</v>
      </c>
      <c r="H1193" s="254">
        <v>5023</v>
      </c>
      <c r="I1193" s="254">
        <v>4784</v>
      </c>
      <c r="J1193" s="254">
        <v>6075.795685</v>
      </c>
      <c r="K1193" s="254">
        <v>5786.7024799999999</v>
      </c>
      <c r="L1193" s="254">
        <v>289.09320500000013</v>
      </c>
      <c r="M1193" s="254">
        <v>4.995819397993313</v>
      </c>
    </row>
    <row r="1194" spans="1:13" ht="25.05" customHeight="1" x14ac:dyDescent="0.3">
      <c r="A1194" s="253" t="s">
        <v>1609</v>
      </c>
      <c r="B1194" s="252" t="s">
        <v>1620</v>
      </c>
      <c r="C1194" s="252">
        <v>0</v>
      </c>
      <c r="D1194" s="252">
        <v>0</v>
      </c>
      <c r="E1194" s="252" t="s">
        <v>20</v>
      </c>
      <c r="F1194" s="253" t="s">
        <v>316</v>
      </c>
      <c r="G1194" s="253" t="s">
        <v>22</v>
      </c>
      <c r="H1194" s="254">
        <v>29</v>
      </c>
      <c r="I1194" s="254">
        <v>-104</v>
      </c>
      <c r="J1194" s="254">
        <v>35.078254999999999</v>
      </c>
      <c r="K1194" s="254">
        <v>-125.79787999999999</v>
      </c>
      <c r="L1194" s="254">
        <v>160.87613499999998</v>
      </c>
      <c r="M1194" s="254">
        <v>-127.88461538461537</v>
      </c>
    </row>
    <row r="1195" spans="1:13" ht="25.05" customHeight="1" x14ac:dyDescent="0.3">
      <c r="A1195" s="253" t="s">
        <v>1609</v>
      </c>
      <c r="B1195" s="252" t="s">
        <v>1621</v>
      </c>
      <c r="C1195" s="252">
        <v>0</v>
      </c>
      <c r="D1195" s="252">
        <v>0</v>
      </c>
      <c r="E1195" s="252" t="s">
        <v>20</v>
      </c>
      <c r="F1195" s="253" t="s">
        <v>316</v>
      </c>
      <c r="G1195" s="253" t="s">
        <v>22</v>
      </c>
      <c r="H1195" s="254">
        <v>5052</v>
      </c>
      <c r="I1195" s="254">
        <v>4680</v>
      </c>
      <c r="J1195" s="254">
        <v>6110.8739399999995</v>
      </c>
      <c r="K1195" s="254">
        <v>5660.9045999999998</v>
      </c>
      <c r="L1195" s="254">
        <v>449.96933999999965</v>
      </c>
      <c r="M1195" s="254">
        <v>7.9487179487179427</v>
      </c>
    </row>
    <row r="1196" spans="1:13" ht="25.05" customHeight="1" x14ac:dyDescent="0.3">
      <c r="A1196" s="253" t="s">
        <v>1609</v>
      </c>
      <c r="B1196" s="252" t="s">
        <v>1622</v>
      </c>
      <c r="C1196" s="252">
        <v>0</v>
      </c>
      <c r="D1196" s="252">
        <v>0</v>
      </c>
      <c r="E1196" s="252" t="s">
        <v>20</v>
      </c>
      <c r="F1196" s="253" t="s">
        <v>316</v>
      </c>
      <c r="G1196" s="253" t="s">
        <v>22</v>
      </c>
      <c r="H1196" s="254">
        <v>96</v>
      </c>
      <c r="I1196" s="254">
        <v>78</v>
      </c>
      <c r="J1196" s="254">
        <v>116.12111999999999</v>
      </c>
      <c r="K1196" s="254">
        <v>94.348410000000001</v>
      </c>
      <c r="L1196" s="254">
        <v>21.772709999999989</v>
      </c>
      <c r="M1196" s="254">
        <v>23.076923076923066</v>
      </c>
    </row>
    <row r="1197" spans="1:13" ht="25.05" customHeight="1" x14ac:dyDescent="0.3">
      <c r="A1197" s="253" t="s">
        <v>1609</v>
      </c>
      <c r="B1197" s="252" t="s">
        <v>121</v>
      </c>
      <c r="C1197" s="252">
        <v>0</v>
      </c>
      <c r="D1197" s="252">
        <v>0</v>
      </c>
      <c r="E1197" s="252" t="s">
        <v>20</v>
      </c>
      <c r="F1197" s="253" t="s">
        <v>316</v>
      </c>
      <c r="G1197" s="253" t="s">
        <v>22</v>
      </c>
      <c r="H1197" s="254">
        <v>199</v>
      </c>
      <c r="I1197" s="254">
        <v>155</v>
      </c>
      <c r="J1197" s="254">
        <v>240.709405</v>
      </c>
      <c r="K1197" s="254">
        <v>187.487225</v>
      </c>
      <c r="L1197" s="254">
        <v>53.222180000000009</v>
      </c>
      <c r="M1197" s="254">
        <v>28.387096774193555</v>
      </c>
    </row>
    <row r="1198" spans="1:13" ht="25.05" customHeight="1" x14ac:dyDescent="0.3">
      <c r="A1198" s="267" t="s">
        <v>1609</v>
      </c>
      <c r="B1198" s="268" t="s">
        <v>248</v>
      </c>
      <c r="C1198" s="268">
        <v>0</v>
      </c>
      <c r="D1198" s="268">
        <v>0</v>
      </c>
      <c r="E1198" s="268" t="s">
        <v>20</v>
      </c>
      <c r="F1198" s="267" t="s">
        <v>316</v>
      </c>
      <c r="G1198" s="267" t="s">
        <v>22</v>
      </c>
      <c r="H1198" s="269">
        <v>5347</v>
      </c>
      <c r="I1198" s="269">
        <v>4913</v>
      </c>
      <c r="J1198" s="269">
        <v>6467.7044649999998</v>
      </c>
      <c r="K1198" s="269">
        <v>5942.7402350000002</v>
      </c>
      <c r="L1198" s="269">
        <v>524.96422999999959</v>
      </c>
      <c r="M1198" s="269">
        <v>8.8337064929778073</v>
      </c>
    </row>
    <row r="1199" spans="1:13" ht="25.05" customHeight="1" x14ac:dyDescent="0.3">
      <c r="A1199" s="253" t="s">
        <v>1623</v>
      </c>
      <c r="B1199" s="252" t="s">
        <v>925</v>
      </c>
      <c r="C1199" s="252" t="s">
        <v>1814</v>
      </c>
      <c r="D1199" s="252" t="s">
        <v>169</v>
      </c>
      <c r="E1199" s="252" t="s">
        <v>40</v>
      </c>
      <c r="F1199" s="253" t="s">
        <v>21</v>
      </c>
      <c r="G1199" s="253" t="s">
        <v>22</v>
      </c>
      <c r="H1199" s="254">
        <v>10.35</v>
      </c>
      <c r="I1199" s="254">
        <v>4.2859999999999996</v>
      </c>
      <c r="J1199" s="254">
        <v>10.35</v>
      </c>
      <c r="K1199" s="254">
        <v>4.2859999999999996</v>
      </c>
      <c r="L1199" s="254">
        <v>6.0640000000000001</v>
      </c>
      <c r="M1199" s="254">
        <v>141.48390107326182</v>
      </c>
    </row>
    <row r="1200" spans="1:13" ht="25.05" customHeight="1" x14ac:dyDescent="0.3">
      <c r="A1200" s="253" t="s">
        <v>1623</v>
      </c>
      <c r="B1200" s="252" t="s">
        <v>1624</v>
      </c>
      <c r="C1200" s="252" t="s">
        <v>1625</v>
      </c>
      <c r="D1200" s="252" t="s">
        <v>169</v>
      </c>
      <c r="E1200" s="252" t="s">
        <v>40</v>
      </c>
      <c r="F1200" s="253" t="s">
        <v>21</v>
      </c>
      <c r="G1200" s="253" t="s">
        <v>22</v>
      </c>
      <c r="H1200" s="254">
        <v>15.342000000000001</v>
      </c>
      <c r="I1200" s="254">
        <v>12.634</v>
      </c>
      <c r="J1200" s="254">
        <v>15.342000000000001</v>
      </c>
      <c r="K1200" s="254">
        <v>12.634</v>
      </c>
      <c r="L1200" s="254">
        <v>2.7080000000000002</v>
      </c>
      <c r="M1200" s="254">
        <v>21.43422510685452</v>
      </c>
    </row>
    <row r="1201" spans="1:13" ht="25.05" customHeight="1" x14ac:dyDescent="0.3">
      <c r="A1201" s="253" t="s">
        <v>1623</v>
      </c>
      <c r="B1201" s="252" t="s">
        <v>1626</v>
      </c>
      <c r="C1201" s="252" t="s">
        <v>1627</v>
      </c>
      <c r="D1201" s="252" t="s">
        <v>92</v>
      </c>
      <c r="E1201" s="252" t="s">
        <v>46</v>
      </c>
      <c r="F1201" s="253" t="s">
        <v>21</v>
      </c>
      <c r="G1201" s="253" t="s">
        <v>22</v>
      </c>
      <c r="H1201" s="254">
        <v>13.028</v>
      </c>
      <c r="I1201" s="254">
        <v>3.3010000000000002</v>
      </c>
      <c r="J1201" s="254">
        <v>13.028</v>
      </c>
      <c r="K1201" s="254">
        <v>3.3010000000000002</v>
      </c>
      <c r="L1201" s="254">
        <v>9.7270000000000003</v>
      </c>
      <c r="M1201" s="254">
        <v>294.66828233868523</v>
      </c>
    </row>
    <row r="1202" spans="1:13" ht="25.05" customHeight="1" x14ac:dyDescent="0.3">
      <c r="A1202" s="253" t="s">
        <v>1623</v>
      </c>
      <c r="B1202" s="252" t="s">
        <v>1628</v>
      </c>
      <c r="C1202" s="252">
        <v>0</v>
      </c>
      <c r="D1202" s="252">
        <v>0</v>
      </c>
      <c r="E1202" s="252" t="s">
        <v>20</v>
      </c>
      <c r="F1202" s="253" t="s">
        <v>21</v>
      </c>
      <c r="G1202" s="253" t="s">
        <v>22</v>
      </c>
      <c r="H1202" s="254">
        <v>38.72</v>
      </c>
      <c r="I1202" s="254">
        <v>20.221</v>
      </c>
      <c r="J1202" s="254">
        <v>38.72</v>
      </c>
      <c r="K1202" s="254">
        <v>20.221</v>
      </c>
      <c r="L1202" s="254">
        <v>18.498999999999999</v>
      </c>
      <c r="M1202" s="254">
        <v>91.48410068740418</v>
      </c>
    </row>
    <row r="1203" spans="1:13" ht="25.05" customHeight="1" x14ac:dyDescent="0.3">
      <c r="A1203" s="253" t="s">
        <v>1623</v>
      </c>
      <c r="B1203" s="252" t="s">
        <v>1629</v>
      </c>
      <c r="C1203" s="252">
        <v>0</v>
      </c>
      <c r="D1203" s="252">
        <v>0</v>
      </c>
      <c r="E1203" s="252" t="s">
        <v>20</v>
      </c>
      <c r="F1203" s="253" t="s">
        <v>21</v>
      </c>
      <c r="G1203" s="253" t="s">
        <v>22</v>
      </c>
      <c r="H1203" s="254">
        <v>128.59700000000001</v>
      </c>
      <c r="I1203" s="254">
        <v>74.869</v>
      </c>
      <c r="J1203" s="254">
        <v>128.59700000000001</v>
      </c>
      <c r="K1203" s="254">
        <v>74.869</v>
      </c>
      <c r="L1203" s="254">
        <v>53.728000000000009</v>
      </c>
      <c r="M1203" s="254">
        <v>71.762678812325547</v>
      </c>
    </row>
    <row r="1204" spans="1:13" ht="25.05" customHeight="1" x14ac:dyDescent="0.3">
      <c r="A1204" s="253" t="s">
        <v>1623</v>
      </c>
      <c r="B1204" s="252" t="s">
        <v>1630</v>
      </c>
      <c r="C1204" s="252">
        <v>0</v>
      </c>
      <c r="D1204" s="252">
        <v>0</v>
      </c>
      <c r="E1204" s="252" t="s">
        <v>20</v>
      </c>
      <c r="F1204" s="253" t="s">
        <v>21</v>
      </c>
      <c r="G1204" s="253" t="s">
        <v>22</v>
      </c>
      <c r="H1204" s="254">
        <v>1.498</v>
      </c>
      <c r="I1204" s="254">
        <v>8.1199999999999992</v>
      </c>
      <c r="J1204" s="254">
        <v>1.498</v>
      </c>
      <c r="K1204" s="254">
        <v>8.1199999999999992</v>
      </c>
      <c r="L1204" s="254">
        <v>-6.621999999999999</v>
      </c>
      <c r="M1204" s="254">
        <v>-81.551724137931032</v>
      </c>
    </row>
    <row r="1205" spans="1:13" ht="25.05" customHeight="1" x14ac:dyDescent="0.3">
      <c r="A1205" s="253" t="s">
        <v>1623</v>
      </c>
      <c r="B1205" s="252" t="s">
        <v>502</v>
      </c>
      <c r="C1205" s="252">
        <v>0</v>
      </c>
      <c r="D1205" s="252">
        <v>0</v>
      </c>
      <c r="E1205" s="252" t="s">
        <v>20</v>
      </c>
      <c r="F1205" s="253" t="s">
        <v>21</v>
      </c>
      <c r="G1205" s="253" t="s">
        <v>22</v>
      </c>
      <c r="H1205" s="254">
        <v>89.22</v>
      </c>
      <c r="I1205" s="254">
        <v>0</v>
      </c>
      <c r="J1205" s="254">
        <v>89.22</v>
      </c>
      <c r="K1205" s="254">
        <v>0</v>
      </c>
      <c r="L1205" s="254">
        <v>89.22</v>
      </c>
      <c r="M1205" s="254" t="s">
        <v>1631</v>
      </c>
    </row>
    <row r="1206" spans="1:13" ht="25.05" customHeight="1" x14ac:dyDescent="0.3">
      <c r="A1206" s="253" t="s">
        <v>1623</v>
      </c>
      <c r="B1206" s="252" t="s">
        <v>315</v>
      </c>
      <c r="C1206" s="252">
        <v>0</v>
      </c>
      <c r="D1206" s="252">
        <v>0</v>
      </c>
      <c r="E1206" s="252" t="s">
        <v>20</v>
      </c>
      <c r="F1206" s="253" t="s">
        <v>21</v>
      </c>
      <c r="G1206" s="253" t="s">
        <v>22</v>
      </c>
      <c r="H1206" s="254">
        <v>0</v>
      </c>
      <c r="I1206" s="254">
        <v>0.504</v>
      </c>
      <c r="J1206" s="254">
        <v>0</v>
      </c>
      <c r="K1206" s="254">
        <v>0.504</v>
      </c>
      <c r="L1206" s="254">
        <v>-0.504</v>
      </c>
      <c r="M1206" s="254">
        <v>-100</v>
      </c>
    </row>
    <row r="1207" spans="1:13" ht="25.05" customHeight="1" x14ac:dyDescent="0.3">
      <c r="A1207" s="253" t="s">
        <v>1623</v>
      </c>
      <c r="B1207" s="252" t="s">
        <v>1632</v>
      </c>
      <c r="C1207" s="252">
        <v>0</v>
      </c>
      <c r="D1207" s="252">
        <v>0</v>
      </c>
      <c r="E1207" s="252" t="s">
        <v>20</v>
      </c>
      <c r="F1207" s="253" t="s">
        <v>21</v>
      </c>
      <c r="G1207" s="253" t="s">
        <v>22</v>
      </c>
      <c r="H1207" s="254">
        <v>219.315</v>
      </c>
      <c r="I1207" s="254">
        <v>83.492999999999995</v>
      </c>
      <c r="J1207" s="254">
        <v>219.315</v>
      </c>
      <c r="K1207" s="254">
        <v>83.492999999999995</v>
      </c>
      <c r="L1207" s="254">
        <v>135.822</v>
      </c>
      <c r="M1207" s="254">
        <v>162.67471524558948</v>
      </c>
    </row>
    <row r="1208" spans="1:13" ht="25.05" customHeight="1" x14ac:dyDescent="0.3">
      <c r="A1208" s="253" t="s">
        <v>1623</v>
      </c>
      <c r="B1208" s="252" t="s">
        <v>1633</v>
      </c>
      <c r="C1208" s="252">
        <v>0</v>
      </c>
      <c r="D1208" s="252">
        <v>0</v>
      </c>
      <c r="E1208" s="252" t="s">
        <v>20</v>
      </c>
      <c r="F1208" s="253" t="s">
        <v>21</v>
      </c>
      <c r="G1208" s="253" t="s">
        <v>22</v>
      </c>
      <c r="H1208" s="254">
        <v>12.994999999999999</v>
      </c>
      <c r="I1208" s="254">
        <v>0</v>
      </c>
      <c r="J1208" s="254">
        <v>12.994999999999999</v>
      </c>
      <c r="K1208" s="254">
        <v>0</v>
      </c>
      <c r="L1208" s="254">
        <v>12.994999999999999</v>
      </c>
      <c r="M1208" s="254">
        <v>100</v>
      </c>
    </row>
    <row r="1209" spans="1:13" ht="25.05" customHeight="1" x14ac:dyDescent="0.3">
      <c r="A1209" s="267" t="s">
        <v>1623</v>
      </c>
      <c r="B1209" s="268" t="s">
        <v>101</v>
      </c>
      <c r="C1209" s="268">
        <v>0</v>
      </c>
      <c r="D1209" s="268">
        <v>0</v>
      </c>
      <c r="E1209" s="268" t="s">
        <v>20</v>
      </c>
      <c r="F1209" s="267" t="s">
        <v>21</v>
      </c>
      <c r="G1209" s="267" t="s">
        <v>22</v>
      </c>
      <c r="H1209" s="269">
        <v>271.02999999999997</v>
      </c>
      <c r="I1209" s="269">
        <v>103.714</v>
      </c>
      <c r="J1209" s="269">
        <v>271.02999999999997</v>
      </c>
      <c r="K1209" s="269">
        <v>103.714</v>
      </c>
      <c r="L1209" s="269">
        <v>167.31599999999997</v>
      </c>
      <c r="M1209" s="269">
        <v>161.32441136201473</v>
      </c>
    </row>
    <row r="1210" spans="1:13" ht="25.05" customHeight="1" x14ac:dyDescent="0.3">
      <c r="A1210" s="253" t="s">
        <v>1634</v>
      </c>
      <c r="B1210" s="252" t="s">
        <v>1816</v>
      </c>
      <c r="C1210" s="252" t="s">
        <v>1817</v>
      </c>
      <c r="D1210" s="252" t="s">
        <v>221</v>
      </c>
      <c r="E1210" s="252" t="s">
        <v>46</v>
      </c>
      <c r="F1210" s="253" t="s">
        <v>21</v>
      </c>
      <c r="G1210" s="253" t="s">
        <v>22</v>
      </c>
      <c r="H1210" s="254">
        <v>516.70000000000005</v>
      </c>
      <c r="I1210" s="254">
        <v>587</v>
      </c>
      <c r="J1210" s="254">
        <v>516.70000000000005</v>
      </c>
      <c r="K1210" s="254">
        <v>587</v>
      </c>
      <c r="L1210" s="254">
        <v>-70.299999999999955</v>
      </c>
      <c r="M1210" s="254">
        <v>-11.976149914821118</v>
      </c>
    </row>
    <row r="1211" spans="1:13" ht="25.05" customHeight="1" x14ac:dyDescent="0.3">
      <c r="A1211" s="253" t="s">
        <v>1634</v>
      </c>
      <c r="B1211" s="252" t="s">
        <v>1635</v>
      </c>
      <c r="C1211" s="252" t="s">
        <v>1636</v>
      </c>
      <c r="D1211" s="252" t="s">
        <v>221</v>
      </c>
      <c r="E1211" s="252" t="s">
        <v>46</v>
      </c>
      <c r="F1211" s="253" t="s">
        <v>21</v>
      </c>
      <c r="G1211" s="253" t="s">
        <v>22</v>
      </c>
      <c r="H1211" s="254">
        <v>483.3</v>
      </c>
      <c r="I1211" s="254">
        <v>415.6</v>
      </c>
      <c r="J1211" s="254">
        <v>483.3</v>
      </c>
      <c r="K1211" s="254">
        <v>415.6</v>
      </c>
      <c r="L1211" s="254">
        <v>67.699999999999989</v>
      </c>
      <c r="M1211" s="254">
        <v>16.289701636188639</v>
      </c>
    </row>
    <row r="1212" spans="1:13" ht="25.05" customHeight="1" x14ac:dyDescent="0.3">
      <c r="A1212" s="253" t="s">
        <v>1634</v>
      </c>
      <c r="B1212" s="252" t="s">
        <v>1637</v>
      </c>
      <c r="C1212" s="252" t="s">
        <v>1638</v>
      </c>
      <c r="D1212" s="252" t="s">
        <v>221</v>
      </c>
      <c r="E1212" s="252" t="s">
        <v>46</v>
      </c>
      <c r="F1212" s="253" t="s">
        <v>21</v>
      </c>
      <c r="G1212" s="253" t="s">
        <v>22</v>
      </c>
      <c r="H1212" s="254">
        <v>293.10000000000002</v>
      </c>
      <c r="I1212" s="254">
        <v>225.3</v>
      </c>
      <c r="J1212" s="254">
        <v>293.10000000000002</v>
      </c>
      <c r="K1212" s="254">
        <v>225.3</v>
      </c>
      <c r="L1212" s="254">
        <v>67.800000000000011</v>
      </c>
      <c r="M1212" s="254">
        <v>30.093209054593878</v>
      </c>
    </row>
    <row r="1213" spans="1:13" ht="25.05" customHeight="1" x14ac:dyDescent="0.3">
      <c r="A1213" s="253" t="s">
        <v>1634</v>
      </c>
      <c r="B1213" s="252" t="s">
        <v>1639</v>
      </c>
      <c r="C1213" s="252" t="s">
        <v>1640</v>
      </c>
      <c r="D1213" s="252" t="s">
        <v>49</v>
      </c>
      <c r="E1213" s="252" t="s">
        <v>40</v>
      </c>
      <c r="F1213" s="253" t="s">
        <v>21</v>
      </c>
      <c r="G1213" s="253" t="s">
        <v>22</v>
      </c>
      <c r="H1213" s="254">
        <v>122.9</v>
      </c>
      <c r="I1213" s="254">
        <v>113.7</v>
      </c>
      <c r="J1213" s="254">
        <v>122.9</v>
      </c>
      <c r="K1213" s="254">
        <v>113.7</v>
      </c>
      <c r="L1213" s="254">
        <v>9.2000000000000028</v>
      </c>
      <c r="M1213" s="254">
        <v>8.0914687774846108</v>
      </c>
    </row>
    <row r="1214" spans="1:13" ht="25.05" customHeight="1" x14ac:dyDescent="0.3">
      <c r="A1214" s="253" t="s">
        <v>1634</v>
      </c>
      <c r="B1214" s="252" t="s">
        <v>1641</v>
      </c>
      <c r="C1214" s="252" t="s">
        <v>638</v>
      </c>
      <c r="D1214" s="252" t="s">
        <v>221</v>
      </c>
      <c r="E1214" s="252" t="s">
        <v>46</v>
      </c>
      <c r="F1214" s="253" t="s">
        <v>21</v>
      </c>
      <c r="G1214" s="253" t="s">
        <v>22</v>
      </c>
      <c r="H1214" s="254">
        <v>67.3</v>
      </c>
      <c r="I1214" s="254">
        <v>107.2</v>
      </c>
      <c r="J1214" s="254">
        <v>67.3</v>
      </c>
      <c r="K1214" s="254">
        <v>107.2</v>
      </c>
      <c r="L1214" s="254">
        <v>-39.900000000000006</v>
      </c>
      <c r="M1214" s="254">
        <v>-37.22014925373135</v>
      </c>
    </row>
    <row r="1215" spans="1:13" ht="25.05" customHeight="1" x14ac:dyDescent="0.3">
      <c r="A1215" s="267" t="s">
        <v>1634</v>
      </c>
      <c r="B1215" s="268" t="s">
        <v>101</v>
      </c>
      <c r="C1215" s="268">
        <v>0</v>
      </c>
      <c r="D1215" s="268">
        <v>0</v>
      </c>
      <c r="E1215" s="268" t="s">
        <v>20</v>
      </c>
      <c r="F1215" s="267" t="s">
        <v>21</v>
      </c>
      <c r="G1215" s="267" t="s">
        <v>22</v>
      </c>
      <c r="H1215" s="269">
        <v>1483.3</v>
      </c>
      <c r="I1215" s="269">
        <v>1448.8</v>
      </c>
      <c r="J1215" s="269">
        <v>1483.3</v>
      </c>
      <c r="K1215" s="269">
        <v>1448.8</v>
      </c>
      <c r="L1215" s="269">
        <v>34.5</v>
      </c>
      <c r="M1215" s="269">
        <v>2.3812810601877414</v>
      </c>
    </row>
    <row r="1216" spans="1:13" ht="25.05" customHeight="1" x14ac:dyDescent="0.3">
      <c r="A1216" s="253" t="s">
        <v>1658</v>
      </c>
      <c r="B1216" s="251" t="s">
        <v>575</v>
      </c>
      <c r="C1216" s="251" t="s">
        <v>576</v>
      </c>
      <c r="D1216" s="251" t="s">
        <v>62</v>
      </c>
      <c r="E1216" s="260" t="s">
        <v>46</v>
      </c>
      <c r="F1216" s="253" t="s">
        <v>21</v>
      </c>
      <c r="G1216" s="253" t="s">
        <v>22</v>
      </c>
      <c r="H1216" s="261">
        <v>1058</v>
      </c>
      <c r="I1216" s="261">
        <v>2888</v>
      </c>
      <c r="J1216" s="254">
        <v>1058</v>
      </c>
      <c r="K1216" s="254">
        <v>2888</v>
      </c>
      <c r="L1216" s="254">
        <v>-1830</v>
      </c>
      <c r="M1216" s="254">
        <v>-63.365650969529085</v>
      </c>
    </row>
    <row r="1217" spans="1:13" ht="25.05" customHeight="1" x14ac:dyDescent="0.3">
      <c r="A1217" s="253" t="s">
        <v>1658</v>
      </c>
      <c r="B1217" s="251" t="s">
        <v>286</v>
      </c>
      <c r="C1217" s="261" t="s">
        <v>287</v>
      </c>
      <c r="D1217" s="261" t="s">
        <v>129</v>
      </c>
      <c r="E1217" s="260" t="s">
        <v>46</v>
      </c>
      <c r="F1217" s="253" t="s">
        <v>21</v>
      </c>
      <c r="G1217" s="253" t="s">
        <v>22</v>
      </c>
      <c r="H1217" s="261">
        <v>1191</v>
      </c>
      <c r="I1217" s="261">
        <v>1506</v>
      </c>
      <c r="J1217" s="254">
        <v>1191</v>
      </c>
      <c r="K1217" s="254">
        <v>1506</v>
      </c>
      <c r="L1217" s="254">
        <v>-315</v>
      </c>
      <c r="M1217" s="254">
        <v>-20.916334661354583</v>
      </c>
    </row>
    <row r="1218" spans="1:13" ht="25.05" customHeight="1" x14ac:dyDescent="0.3">
      <c r="A1218" s="253" t="s">
        <v>1658</v>
      </c>
      <c r="B1218" s="251" t="s">
        <v>1659</v>
      </c>
      <c r="C1218" s="261" t="s">
        <v>559</v>
      </c>
      <c r="D1218" s="261" t="s">
        <v>129</v>
      </c>
      <c r="E1218" s="260" t="s">
        <v>46</v>
      </c>
      <c r="F1218" s="253" t="s">
        <v>21</v>
      </c>
      <c r="G1218" s="253" t="s">
        <v>22</v>
      </c>
      <c r="H1218" s="261">
        <v>601</v>
      </c>
      <c r="I1218" s="261">
        <v>735</v>
      </c>
      <c r="J1218" s="254">
        <v>601</v>
      </c>
      <c r="K1218" s="254">
        <v>735</v>
      </c>
      <c r="L1218" s="254">
        <v>-134</v>
      </c>
      <c r="M1218" s="254">
        <v>-18.231292517006803</v>
      </c>
    </row>
    <row r="1219" spans="1:13" ht="25.05" customHeight="1" x14ac:dyDescent="0.3">
      <c r="A1219" s="253" t="s">
        <v>1658</v>
      </c>
      <c r="B1219" s="251" t="s">
        <v>1660</v>
      </c>
      <c r="C1219" s="261" t="s">
        <v>273</v>
      </c>
      <c r="D1219" s="261" t="s">
        <v>126</v>
      </c>
      <c r="E1219" s="260" t="s">
        <v>46</v>
      </c>
      <c r="F1219" s="253" t="s">
        <v>21</v>
      </c>
      <c r="G1219" s="253" t="s">
        <v>22</v>
      </c>
      <c r="H1219" s="261">
        <v>428</v>
      </c>
      <c r="I1219" s="261">
        <v>526</v>
      </c>
      <c r="J1219" s="254">
        <v>428</v>
      </c>
      <c r="K1219" s="254">
        <v>526</v>
      </c>
      <c r="L1219" s="254">
        <v>-98</v>
      </c>
      <c r="M1219" s="254">
        <v>-18.631178707224336</v>
      </c>
    </row>
    <row r="1220" spans="1:13" ht="25.05" customHeight="1" x14ac:dyDescent="0.3">
      <c r="A1220" s="253" t="s">
        <v>1658</v>
      </c>
      <c r="B1220" s="251" t="s">
        <v>1661</v>
      </c>
      <c r="C1220" s="261" t="s">
        <v>1662</v>
      </c>
      <c r="D1220" s="261" t="s">
        <v>81</v>
      </c>
      <c r="E1220" s="260" t="s">
        <v>46</v>
      </c>
      <c r="F1220" s="253" t="s">
        <v>21</v>
      </c>
      <c r="G1220" s="253" t="s">
        <v>22</v>
      </c>
      <c r="H1220" s="261">
        <v>342</v>
      </c>
      <c r="I1220" s="261">
        <v>379</v>
      </c>
      <c r="J1220" s="254">
        <v>342</v>
      </c>
      <c r="K1220" s="254">
        <v>379</v>
      </c>
      <c r="L1220" s="254">
        <v>-37</v>
      </c>
      <c r="M1220" s="254">
        <v>-9.7625329815303434</v>
      </c>
    </row>
    <row r="1221" spans="1:13" ht="25.05" customHeight="1" x14ac:dyDescent="0.3">
      <c r="A1221" s="253" t="s">
        <v>1658</v>
      </c>
      <c r="B1221" s="251" t="s">
        <v>1663</v>
      </c>
      <c r="C1221" s="261" t="s">
        <v>1664</v>
      </c>
      <c r="D1221" s="261" t="s">
        <v>62</v>
      </c>
      <c r="E1221" s="260" t="s">
        <v>46</v>
      </c>
      <c r="F1221" s="253" t="s">
        <v>21</v>
      </c>
      <c r="G1221" s="253" t="s">
        <v>22</v>
      </c>
      <c r="H1221" s="261">
        <v>242</v>
      </c>
      <c r="I1221" s="261">
        <v>242</v>
      </c>
      <c r="J1221" s="254">
        <v>242</v>
      </c>
      <c r="K1221" s="254">
        <v>242</v>
      </c>
      <c r="L1221" s="254">
        <v>0</v>
      </c>
      <c r="M1221" s="254">
        <v>0</v>
      </c>
    </row>
    <row r="1222" spans="1:13" ht="25.05" customHeight="1" x14ac:dyDescent="0.3">
      <c r="A1222" s="253" t="s">
        <v>1658</v>
      </c>
      <c r="B1222" s="251" t="s">
        <v>1665</v>
      </c>
      <c r="C1222" s="261" t="s">
        <v>1666</v>
      </c>
      <c r="D1222" s="261" t="s">
        <v>62</v>
      </c>
      <c r="E1222" s="260" t="s">
        <v>46</v>
      </c>
      <c r="F1222" s="253" t="s">
        <v>21</v>
      </c>
      <c r="G1222" s="253" t="s">
        <v>22</v>
      </c>
      <c r="H1222" s="261">
        <v>233</v>
      </c>
      <c r="I1222" s="261">
        <v>217</v>
      </c>
      <c r="J1222" s="254">
        <v>233</v>
      </c>
      <c r="K1222" s="254">
        <v>217</v>
      </c>
      <c r="L1222" s="254">
        <v>16</v>
      </c>
      <c r="M1222" s="254">
        <v>7.3732718894009217</v>
      </c>
    </row>
    <row r="1223" spans="1:13" ht="25.05" customHeight="1" x14ac:dyDescent="0.3">
      <c r="A1223" s="253" t="s">
        <v>1658</v>
      </c>
      <c r="B1223" s="251" t="s">
        <v>1667</v>
      </c>
      <c r="C1223" s="253" t="s">
        <v>1289</v>
      </c>
      <c r="D1223" s="253" t="s">
        <v>43</v>
      </c>
      <c r="E1223" s="260" t="s">
        <v>46</v>
      </c>
      <c r="F1223" s="253" t="s">
        <v>21</v>
      </c>
      <c r="G1223" s="253" t="s">
        <v>22</v>
      </c>
      <c r="H1223" s="261">
        <v>194</v>
      </c>
      <c r="I1223" s="261">
        <v>197</v>
      </c>
      <c r="J1223" s="254">
        <v>194</v>
      </c>
      <c r="K1223" s="254">
        <v>197</v>
      </c>
      <c r="L1223" s="254">
        <v>-3</v>
      </c>
      <c r="M1223" s="254">
        <v>-1.5228426395939088</v>
      </c>
    </row>
    <row r="1224" spans="1:13" ht="25.05" customHeight="1" x14ac:dyDescent="0.3">
      <c r="A1224" s="253" t="s">
        <v>1658</v>
      </c>
      <c r="B1224" s="251" t="s">
        <v>1668</v>
      </c>
      <c r="C1224" s="261" t="s">
        <v>1669</v>
      </c>
      <c r="D1224" s="261" t="s">
        <v>72</v>
      </c>
      <c r="E1224" s="260" t="s">
        <v>46</v>
      </c>
      <c r="F1224" s="253" t="s">
        <v>21</v>
      </c>
      <c r="G1224" s="253" t="s">
        <v>22</v>
      </c>
      <c r="H1224" s="261">
        <v>188</v>
      </c>
      <c r="I1224" s="261">
        <v>201</v>
      </c>
      <c r="J1224" s="254">
        <v>188</v>
      </c>
      <c r="K1224" s="254">
        <v>201</v>
      </c>
      <c r="L1224" s="254">
        <v>-13</v>
      </c>
      <c r="M1224" s="254">
        <v>-6.467661691542288</v>
      </c>
    </row>
    <row r="1225" spans="1:13" ht="25.05" customHeight="1" x14ac:dyDescent="0.3">
      <c r="A1225" s="253" t="s">
        <v>1658</v>
      </c>
      <c r="B1225" s="251" t="s">
        <v>1670</v>
      </c>
      <c r="C1225" s="261" t="s">
        <v>1671</v>
      </c>
      <c r="D1225" s="261" t="s">
        <v>62</v>
      </c>
      <c r="E1225" s="260" t="s">
        <v>46</v>
      </c>
      <c r="F1225" s="253" t="s">
        <v>21</v>
      </c>
      <c r="G1225" s="253" t="s">
        <v>22</v>
      </c>
      <c r="H1225" s="261">
        <v>149</v>
      </c>
      <c r="I1225" s="261">
        <v>147</v>
      </c>
      <c r="J1225" s="254">
        <v>149</v>
      </c>
      <c r="K1225" s="254">
        <v>147</v>
      </c>
      <c r="L1225" s="254">
        <v>2</v>
      </c>
      <c r="M1225" s="254">
        <v>1.3605442176870748</v>
      </c>
    </row>
    <row r="1226" spans="1:13" ht="25.05" customHeight="1" x14ac:dyDescent="0.3">
      <c r="A1226" s="253" t="s">
        <v>1658</v>
      </c>
      <c r="B1226" s="251" t="s">
        <v>1672</v>
      </c>
      <c r="C1226" s="251"/>
      <c r="D1226" s="251"/>
      <c r="E1226" s="260"/>
      <c r="F1226" s="253" t="s">
        <v>21</v>
      </c>
      <c r="G1226" s="253" t="s">
        <v>22</v>
      </c>
      <c r="H1226" s="261">
        <v>1317</v>
      </c>
      <c r="I1226" s="261">
        <v>1496</v>
      </c>
      <c r="J1226" s="254">
        <v>1317</v>
      </c>
      <c r="K1226" s="254">
        <v>1496</v>
      </c>
      <c r="L1226" s="254">
        <v>-179</v>
      </c>
      <c r="M1226" s="254">
        <v>-11.965240641711231</v>
      </c>
    </row>
    <row r="1227" spans="1:13" ht="25.05" customHeight="1" x14ac:dyDescent="0.3">
      <c r="A1227" s="267" t="s">
        <v>1658</v>
      </c>
      <c r="B1227" s="267" t="s">
        <v>101</v>
      </c>
      <c r="C1227" s="267"/>
      <c r="D1227" s="267"/>
      <c r="E1227" s="270"/>
      <c r="F1227" s="267" t="s">
        <v>21</v>
      </c>
      <c r="G1227" s="267" t="s">
        <v>22</v>
      </c>
      <c r="H1227" s="271">
        <v>5944</v>
      </c>
      <c r="I1227" s="271">
        <v>8535</v>
      </c>
      <c r="J1227" s="269">
        <v>5944</v>
      </c>
      <c r="K1227" s="269">
        <v>8535</v>
      </c>
      <c r="L1227" s="269">
        <v>-2591</v>
      </c>
      <c r="M1227" s="269">
        <v>-30.357352079671941</v>
      </c>
    </row>
    <row r="1228" spans="1:13" ht="25.05" customHeight="1" x14ac:dyDescent="0.3">
      <c r="A1228" s="253" t="s">
        <v>1642</v>
      </c>
      <c r="B1228" s="252" t="s">
        <v>1819</v>
      </c>
      <c r="C1228" s="252" t="s">
        <v>1820</v>
      </c>
      <c r="D1228" s="252" t="s">
        <v>221</v>
      </c>
      <c r="E1228" s="252" t="s">
        <v>46</v>
      </c>
      <c r="F1228" s="253" t="s">
        <v>21</v>
      </c>
      <c r="G1228" s="253" t="s">
        <v>22</v>
      </c>
      <c r="H1228" s="254">
        <v>803</v>
      </c>
      <c r="I1228" s="254">
        <v>991</v>
      </c>
      <c r="J1228" s="254">
        <v>803</v>
      </c>
      <c r="K1228" s="254">
        <v>991</v>
      </c>
      <c r="L1228" s="254">
        <v>-188</v>
      </c>
      <c r="M1228" s="254">
        <v>-18.970736629667005</v>
      </c>
    </row>
    <row r="1229" spans="1:13" ht="25.05" customHeight="1" x14ac:dyDescent="0.3">
      <c r="A1229" s="253" t="s">
        <v>1642</v>
      </c>
      <c r="B1229" s="252" t="s">
        <v>1643</v>
      </c>
      <c r="C1229" s="252" t="s">
        <v>1644</v>
      </c>
      <c r="D1229" s="252" t="s">
        <v>221</v>
      </c>
      <c r="E1229" s="252" t="s">
        <v>46</v>
      </c>
      <c r="F1229" s="253" t="s">
        <v>21</v>
      </c>
      <c r="G1229" s="253" t="s">
        <v>22</v>
      </c>
      <c r="H1229" s="254">
        <v>908</v>
      </c>
      <c r="I1229" s="254">
        <v>1176</v>
      </c>
      <c r="J1229" s="254">
        <v>908</v>
      </c>
      <c r="K1229" s="254">
        <v>1176</v>
      </c>
      <c r="L1229" s="254">
        <v>-268</v>
      </c>
      <c r="M1229" s="254">
        <v>-22.789115646258505</v>
      </c>
    </row>
    <row r="1230" spans="1:13" ht="25.05" customHeight="1" x14ac:dyDescent="0.3">
      <c r="A1230" s="253" t="s">
        <v>1642</v>
      </c>
      <c r="B1230" s="252" t="s">
        <v>1645</v>
      </c>
      <c r="C1230" s="252" t="s">
        <v>1646</v>
      </c>
      <c r="D1230" s="252" t="s">
        <v>169</v>
      </c>
      <c r="E1230" s="252" t="s">
        <v>46</v>
      </c>
      <c r="F1230" s="253" t="s">
        <v>21</v>
      </c>
      <c r="G1230" s="253" t="s">
        <v>22</v>
      </c>
      <c r="H1230" s="254">
        <v>629</v>
      </c>
      <c r="I1230" s="254">
        <v>1418</v>
      </c>
      <c r="J1230" s="254">
        <v>629</v>
      </c>
      <c r="K1230" s="254">
        <v>1418</v>
      </c>
      <c r="L1230" s="254">
        <v>-789</v>
      </c>
      <c r="M1230" s="254">
        <v>-55.641748942172079</v>
      </c>
    </row>
    <row r="1231" spans="1:13" ht="25.05" customHeight="1" x14ac:dyDescent="0.3">
      <c r="A1231" s="253" t="s">
        <v>1642</v>
      </c>
      <c r="B1231" s="252" t="s">
        <v>1647</v>
      </c>
      <c r="C1231" s="252" t="s">
        <v>1648</v>
      </c>
      <c r="D1231" s="252" t="s">
        <v>169</v>
      </c>
      <c r="E1231" s="252" t="s">
        <v>46</v>
      </c>
      <c r="F1231" s="253" t="s">
        <v>21</v>
      </c>
      <c r="G1231" s="253" t="s">
        <v>22</v>
      </c>
      <c r="H1231" s="254">
        <v>3864</v>
      </c>
      <c r="I1231" s="254">
        <v>420</v>
      </c>
      <c r="J1231" s="254">
        <v>3864</v>
      </c>
      <c r="K1231" s="254">
        <v>420</v>
      </c>
      <c r="L1231" s="254">
        <v>3444</v>
      </c>
      <c r="M1231" s="254">
        <v>819.99999999999989</v>
      </c>
    </row>
    <row r="1232" spans="1:13" ht="25.05" customHeight="1" x14ac:dyDescent="0.3">
      <c r="A1232" s="253" t="s">
        <v>1642</v>
      </c>
      <c r="B1232" s="252" t="s">
        <v>372</v>
      </c>
      <c r="C1232" s="252">
        <v>0</v>
      </c>
      <c r="D1232" s="252">
        <v>0</v>
      </c>
      <c r="E1232" s="252" t="s">
        <v>20</v>
      </c>
      <c r="F1232" s="253" t="s">
        <v>21</v>
      </c>
      <c r="G1232" s="253" t="s">
        <v>22</v>
      </c>
      <c r="H1232" s="254">
        <v>6203</v>
      </c>
      <c r="I1232" s="254">
        <v>4160.7</v>
      </c>
      <c r="J1232" s="254">
        <v>6203</v>
      </c>
      <c r="K1232" s="254">
        <v>4160.7</v>
      </c>
      <c r="L1232" s="254">
        <v>2042.3000000000002</v>
      </c>
      <c r="M1232" s="254">
        <v>49.085490422284714</v>
      </c>
    </row>
    <row r="1233" spans="1:13" ht="25.05" customHeight="1" x14ac:dyDescent="0.3">
      <c r="A1233" s="253" t="s">
        <v>1642</v>
      </c>
      <c r="B1233" s="252" t="s">
        <v>1649</v>
      </c>
      <c r="C1233" s="252">
        <v>0</v>
      </c>
      <c r="D1233" s="252">
        <v>0</v>
      </c>
      <c r="E1233" s="252" t="s">
        <v>20</v>
      </c>
      <c r="F1233" s="253" t="s">
        <v>21</v>
      </c>
      <c r="G1233" s="253" t="s">
        <v>22</v>
      </c>
      <c r="H1233" s="254">
        <v>2.9</v>
      </c>
      <c r="I1233" s="254">
        <v>2.0950000000000002</v>
      </c>
      <c r="J1233" s="254">
        <v>2.9</v>
      </c>
      <c r="K1233" s="254">
        <v>2.0950000000000002</v>
      </c>
      <c r="L1233" s="254">
        <v>0.80499999999999972</v>
      </c>
      <c r="M1233" s="254">
        <v>38.424821002386615</v>
      </c>
    </row>
    <row r="1234" spans="1:13" ht="25.05" customHeight="1" x14ac:dyDescent="0.3">
      <c r="A1234" s="267" t="s">
        <v>1642</v>
      </c>
      <c r="B1234" s="268" t="s">
        <v>38</v>
      </c>
      <c r="C1234" s="268">
        <v>0</v>
      </c>
      <c r="D1234" s="268">
        <v>0</v>
      </c>
      <c r="E1234" s="268" t="s">
        <v>20</v>
      </c>
      <c r="F1234" s="267" t="s">
        <v>21</v>
      </c>
      <c r="G1234" s="267" t="s">
        <v>22</v>
      </c>
      <c r="H1234" s="269">
        <v>6205.683</v>
      </c>
      <c r="I1234" s="269">
        <v>4162.8209999999999</v>
      </c>
      <c r="J1234" s="269">
        <v>6205.683</v>
      </c>
      <c r="K1234" s="269">
        <v>4162.8209999999999</v>
      </c>
      <c r="L1234" s="269">
        <v>2042.8620000000001</v>
      </c>
      <c r="M1234" s="269">
        <v>49.073981321800773</v>
      </c>
    </row>
    <row r="1235" spans="1:13" ht="25.05" customHeight="1" x14ac:dyDescent="0.3">
      <c r="A1235" s="253" t="s">
        <v>1650</v>
      </c>
      <c r="B1235" s="253" t="s">
        <v>1651</v>
      </c>
      <c r="C1235" s="259"/>
      <c r="D1235" s="259"/>
      <c r="E1235" s="259"/>
      <c r="F1235" s="253" t="s">
        <v>21</v>
      </c>
      <c r="G1235" s="253" t="s">
        <v>22</v>
      </c>
      <c r="H1235" s="254">
        <v>8510.9</v>
      </c>
      <c r="I1235" s="254">
        <v>8240</v>
      </c>
      <c r="J1235" s="254">
        <v>8510.9</v>
      </c>
      <c r="K1235" s="254">
        <v>8240</v>
      </c>
      <c r="L1235" s="254">
        <v>270.89999999999964</v>
      </c>
      <c r="M1235" s="254">
        <v>3.2876213592232966</v>
      </c>
    </row>
    <row r="1236" spans="1:13" ht="25.05" customHeight="1" x14ac:dyDescent="0.3">
      <c r="A1236" s="253" t="s">
        <v>1650</v>
      </c>
      <c r="B1236" s="253" t="s">
        <v>1652</v>
      </c>
      <c r="C1236" s="259"/>
      <c r="D1236" s="259"/>
      <c r="E1236" s="259"/>
      <c r="F1236" s="253" t="s">
        <v>21</v>
      </c>
      <c r="G1236" s="253" t="s">
        <v>22</v>
      </c>
      <c r="H1236" s="254">
        <v>259.89999999999998</v>
      </c>
      <c r="I1236" s="254">
        <v>214.6</v>
      </c>
      <c r="J1236" s="254">
        <v>259.89999999999998</v>
      </c>
      <c r="K1236" s="254">
        <v>214.6</v>
      </c>
      <c r="L1236" s="254">
        <v>45.299999999999983</v>
      </c>
      <c r="M1236" s="254">
        <v>21.10904007455731</v>
      </c>
    </row>
    <row r="1237" spans="1:13" ht="25.05" customHeight="1" x14ac:dyDescent="0.3">
      <c r="A1237" s="253" t="s">
        <v>1650</v>
      </c>
      <c r="B1237" s="253" t="s">
        <v>1653</v>
      </c>
      <c r="C1237" s="259"/>
      <c r="D1237" s="259"/>
      <c r="E1237" s="259"/>
      <c r="F1237" s="253" t="s">
        <v>21</v>
      </c>
      <c r="G1237" s="253" t="s">
        <v>22</v>
      </c>
      <c r="H1237" s="254">
        <v>1195.3</v>
      </c>
      <c r="I1237" s="254">
        <v>1192.5</v>
      </c>
      <c r="J1237" s="254">
        <v>1195.3</v>
      </c>
      <c r="K1237" s="254">
        <v>1192.5</v>
      </c>
      <c r="L1237" s="254">
        <v>2.7999999999999545</v>
      </c>
      <c r="M1237" s="254">
        <v>0.23480083857441966</v>
      </c>
    </row>
    <row r="1238" spans="1:13" ht="25.05" customHeight="1" x14ac:dyDescent="0.3">
      <c r="A1238" s="253" t="s">
        <v>1650</v>
      </c>
      <c r="B1238" s="253" t="s">
        <v>1654</v>
      </c>
      <c r="C1238" s="259"/>
      <c r="D1238" s="259"/>
      <c r="E1238" s="259"/>
      <c r="F1238" s="253" t="s">
        <v>21</v>
      </c>
      <c r="G1238" s="253" t="s">
        <v>22</v>
      </c>
      <c r="H1238" s="254">
        <v>1853.8</v>
      </c>
      <c r="I1238" s="254">
        <v>1723.2</v>
      </c>
      <c r="J1238" s="254">
        <v>1853.8</v>
      </c>
      <c r="K1238" s="254">
        <v>1723.2</v>
      </c>
      <c r="L1238" s="254">
        <v>130.59999999999991</v>
      </c>
      <c r="M1238" s="254">
        <v>7.5789229340761324</v>
      </c>
    </row>
    <row r="1239" spans="1:13" ht="25.05" customHeight="1" x14ac:dyDescent="0.3">
      <c r="A1239" s="253" t="s">
        <v>1650</v>
      </c>
      <c r="B1239" s="253" t="s">
        <v>1655</v>
      </c>
      <c r="C1239" s="259"/>
      <c r="D1239" s="259"/>
      <c r="E1239" s="259"/>
      <c r="F1239" s="253" t="s">
        <v>21</v>
      </c>
      <c r="G1239" s="253" t="s">
        <v>22</v>
      </c>
      <c r="H1239" s="254">
        <v>11819.9</v>
      </c>
      <c r="I1239" s="254">
        <v>11370.3</v>
      </c>
      <c r="J1239" s="254">
        <v>11819.9</v>
      </c>
      <c r="K1239" s="254">
        <v>11370.3</v>
      </c>
      <c r="L1239" s="254">
        <v>449.60000000000036</v>
      </c>
      <c r="M1239" s="254">
        <v>3.9541612798255139</v>
      </c>
    </row>
    <row r="1240" spans="1:13" ht="25.05" customHeight="1" x14ac:dyDescent="0.3">
      <c r="A1240" s="253" t="s">
        <v>1650</v>
      </c>
      <c r="B1240" s="253" t="s">
        <v>1656</v>
      </c>
      <c r="C1240" s="259"/>
      <c r="D1240" s="259"/>
      <c r="E1240" s="259"/>
      <c r="F1240" s="253" t="s">
        <v>21</v>
      </c>
      <c r="G1240" s="253" t="s">
        <v>22</v>
      </c>
      <c r="H1240" s="254">
        <v>126.1</v>
      </c>
      <c r="I1240" s="254">
        <v>130.19999999999999</v>
      </c>
      <c r="J1240" s="254">
        <v>126.1</v>
      </c>
      <c r="K1240" s="254">
        <v>130.19999999999999</v>
      </c>
      <c r="L1240" s="254">
        <v>-4.0999999999999943</v>
      </c>
      <c r="M1240" s="254">
        <v>-3.1490015360983059</v>
      </c>
    </row>
    <row r="1241" spans="1:13" ht="25.05" customHeight="1" x14ac:dyDescent="0.3">
      <c r="A1241" s="267" t="s">
        <v>1650</v>
      </c>
      <c r="B1241" s="267" t="s">
        <v>1657</v>
      </c>
      <c r="C1241" s="272"/>
      <c r="D1241" s="272"/>
      <c r="E1241" s="272"/>
      <c r="F1241" s="267" t="s">
        <v>21</v>
      </c>
      <c r="G1241" s="267" t="s">
        <v>22</v>
      </c>
      <c r="H1241" s="269">
        <v>11946</v>
      </c>
      <c r="I1241" s="269">
        <v>11500.5</v>
      </c>
      <c r="J1241" s="269">
        <v>11946</v>
      </c>
      <c r="K1241" s="269">
        <v>11500.5</v>
      </c>
      <c r="L1241" s="269">
        <v>445.5</v>
      </c>
      <c r="M1241" s="269">
        <v>3.873744619799139</v>
      </c>
    </row>
  </sheetData>
  <autoFilter ref="A1:M1" xr:uid="{BF481024-9B92-4EFE-A8AC-F59C7113D395}"/>
  <customSheetViews>
    <customSheetView guid="{651C7571-4512-40DE-82E5-F74C0DF78740}" filter="1" showAutoFilter="1">
      <pageMargins left="0.7" right="0.7" top="0.75" bottom="0.75" header="0.3" footer="0.3"/>
      <autoFilter ref="A1:X1241" xr:uid="{00000000-0000-0000-0000-000000000000}"/>
    </customSheetView>
    <customSheetView guid="{0707BFF7-B4F7-4056-930F-5F55BF6FB92A}" filter="1" showAutoFilter="1">
      <pageMargins left="0.7" right="0.7" top="0.75" bottom="0.75" header="0.3" footer="0.3"/>
      <autoFilter ref="A1:X1241" xr:uid="{00000000-0000-0000-0000-000000000000}">
        <filterColumn colId="16">
          <filters>
            <filter val="Consumer_"/>
            <filter val="Total"/>
          </filters>
        </filterColumn>
      </autoFilter>
    </customSheetView>
    <customSheetView guid="{84B3163D-902E-4C92-8C2D-84A5ED847535}" filter="1" showAutoFilter="1">
      <pageMargins left="0.7" right="0.7" top="0.75" bottom="0.75" header="0.3" footer="0.3"/>
      <autoFilter ref="A1:X1241" xr:uid="{00000000-0000-0000-0000-000000000000}">
        <filterColumn colId="16">
          <filters>
            <filter val="Total"/>
          </filters>
        </filterColumn>
      </autoFilter>
    </customSheetView>
    <customSheetView guid="{A971BD08-53D8-4F68-B6E3-A45C9E252B62}" filter="1" showAutoFilter="1">
      <pageMargins left="0.7" right="0.7" top="0.75" bottom="0.75" header="0.3" footer="0.3"/>
      <autoFilter ref="A1:X1241" xr:uid="{00000000-0000-0000-0000-000000000000}"/>
    </customSheetView>
    <customSheetView guid="{6B9E4B79-D6B7-42B4-B376-2E7F89791175}" filter="1" showAutoFilter="1">
      <pageMargins left="0.7" right="0.7" top="0.75" bottom="0.75" header="0.3" footer="0.3"/>
      <autoFilter ref="A1:X1241" xr:uid="{00000000-0000-0000-0000-000000000000}">
        <filterColumn colId="0">
          <filters>
            <filter val="GlaxoSmithKline"/>
          </filters>
        </filterColumn>
      </autoFilter>
    </customSheetView>
    <customSheetView guid="{662E8007-C298-4C0B-9A8E-912D4192F876}" filter="1" showAutoFilter="1">
      <pageMargins left="0.7" right="0.7" top="0.75" bottom="0.75" header="0.3" footer="0.3"/>
      <autoFilter ref="A1:X1241" xr:uid="{00000000-0000-0000-0000-000000000000}">
        <filterColumn colId="0">
          <filters>
            <filter val="Roche"/>
          </filters>
        </filterColumn>
      </autoFilter>
    </customSheetView>
    <customSheetView guid="{5A137666-9454-4BE8-9A84-5E33CCFA83A3}" filter="1" showAutoFilter="1">
      <pageMargins left="0.7" right="0.7" top="0.75" bottom="0.75" header="0.3" footer="0.3"/>
      <autoFilter ref="A1:X1241" xr:uid="{00000000-0000-0000-0000-000000000000}">
        <filterColumn colId="0">
          <filters>
            <filter val="GlaxoSmithKline"/>
          </filters>
        </filterColumn>
      </autoFilter>
    </customSheetView>
    <customSheetView guid="{D2DC4635-F57C-4FC7-8127-AAD063A0E375}" filter="1" showAutoFilter="1">
      <pageMargins left="0.7" right="0.7" top="0.75" bottom="0.75" header="0.3" footer="0.3"/>
      <autoFilter ref="A1:X1241" xr:uid="{00000000-0000-0000-0000-000000000000}">
        <filterColumn colId="1">
          <filters>
            <filter val="AmBisome"/>
            <filter val="Aplenzin "/>
            <filter val="Dupixent"/>
            <filter val="Net Product Revenues"/>
            <filter val="Other products"/>
            <filter val="Other revenues"/>
            <filter val="Other sales"/>
            <filter val="Total net sales"/>
            <filter val="Total product sales"/>
            <filter val="Total revenue"/>
            <filter val="Total revenues"/>
            <filter val="Wellbutrin "/>
            <filter val="Xenazine "/>
          </filters>
        </filterColumn>
      </autoFilter>
    </customSheetView>
    <customSheetView guid="{E2888B7E-CC43-4BD3-A991-DB679EDD278C}" filter="1" showAutoFilter="1">
      <pageMargins left="0.7" right="0.7" top="0.75" bottom="0.75" header="0.3" footer="0.3"/>
      <autoFilter ref="A1:X1241" xr:uid="{00000000-0000-0000-0000-000000000000}">
        <filterColumn colId="22">
          <filters>
            <filter val="Previous Products"/>
          </filters>
        </filterColumn>
      </autoFilter>
    </customSheetView>
    <customSheetView guid="{10A3025B-5449-49F8-A99F-8A84C4C32AAD}" filter="1" showAutoFilter="1">
      <pageMargins left="0.7" right="0.7" top="0.75" bottom="0.75" header="0.3" footer="0.3"/>
      <autoFilter ref="A1:X1241" xr:uid="{00000000-0000-0000-0000-000000000000}"/>
    </customSheetView>
    <customSheetView guid="{3F4E9AAA-C2C5-46C6-8F23-D50409981308}" filter="1" showAutoFilter="1">
      <pageMargins left="0.7" right="0.7" top="0.75" bottom="0.75" header="0.3" footer="0.3"/>
      <autoFilter ref="A1:X1241" xr:uid="{00000000-0000-0000-0000-000000000000}"/>
    </customSheetView>
    <customSheetView guid="{FB27566C-4428-47E4-8CA0-31A8119A6220}" filter="1" showAutoFilter="1">
      <pageMargins left="0.7" right="0.7" top="0.75" bottom="0.75" header="0.3" footer="0.3"/>
      <autoFilter ref="A1:X1241" xr:uid="{00000000-0000-0000-0000-000000000000}">
        <filterColumn colId="0">
          <filters>
            <filter val="Novartis"/>
          </filters>
        </filterColumn>
        <filterColumn colId="16">
          <filters blank="1">
            <filter val="//"/>
            <filter val="Consumer_"/>
            <filter val="Device"/>
            <filter val="Kit"/>
            <filter val="Others"/>
            <filter val="Pharma"/>
            <filter val="Total"/>
            <filter val="Vet"/>
          </filters>
        </filterColumn>
        <filterColumn colId="17">
          <filters>
            <filter val="Y"/>
          </filters>
        </filterColumn>
      </autoFilter>
    </customSheetView>
    <customSheetView guid="{E5D38E0C-7656-40BD-A1B9-60BC864FD23C}" filter="1" showAutoFilter="1">
      <pageMargins left="0.7" right="0.7" top="0.75" bottom="0.75" header="0.3" footer="0.3"/>
      <autoFilter ref="A1:X1241" xr:uid="{00000000-0000-0000-0000-000000000000}">
        <filterColumn colId="22">
          <filters>
            <filter val="Previous Products"/>
          </filters>
        </filterColumn>
      </autoFilter>
    </customSheetView>
    <customSheetView guid="{DA779525-1922-4228-A7F9-7152AC5A4606}" filter="1" showAutoFilter="1">
      <pageMargins left="0.7" right="0.7" top="0.75" bottom="0.75" header="0.3" footer="0.3"/>
      <autoFilter ref="A1:X1241" xr:uid="{00000000-0000-0000-0000-000000000000}">
        <filterColumn colId="1">
          <filters>
            <filter val="AmBisome"/>
            <filter val="Aplenzin "/>
            <filter val="Net Product Revenues"/>
            <filter val="Other products"/>
            <filter val="Other revenues"/>
            <filter val="Other sales"/>
            <filter val="Total net sales"/>
            <filter val="Total product sales"/>
            <filter val="Total revenue"/>
            <filter val="Total revenues"/>
            <filter val="Trulicity"/>
            <filter val="Wellbutrin "/>
            <filter val="Xenazine "/>
          </filters>
        </filterColumn>
      </autoFilter>
    </customSheetView>
    <customSheetView guid="{D4E76856-821B-4CB5-AC45-26BE4C4C3E33}" filter="1" showAutoFilter="1">
      <pageMargins left="0.7" right="0.7" top="0.75" bottom="0.75" header="0.3" footer="0.3"/>
      <autoFilter ref="A1:X1241" xr:uid="{00000000-0000-0000-0000-000000000000}">
        <filterColumn colId="1">
          <filters>
            <filter val="AmBisome"/>
            <filter val="Aplenzin "/>
            <filter val="Effient"/>
            <filter val="Net Product Revenues"/>
            <filter val="Other products"/>
            <filter val="Other revenues"/>
            <filter val="Other sales"/>
            <filter val="Total net sales"/>
            <filter val="Total product sales"/>
            <filter val="Total revenue"/>
            <filter val="Total revenues"/>
            <filter val="Wellbutrin "/>
            <filter val="Xenazine "/>
          </filters>
        </filterColumn>
      </autoFilter>
    </customSheetView>
    <customSheetView guid="{7084F808-3DCA-4E45-9DE9-CE8EC5FAA9D2}" filter="1" showAutoFilter="1">
      <pageMargins left="0.7" right="0.7" top="0.75" bottom="0.75" header="0.3" footer="0.3"/>
      <autoFilter ref="A1:X1241" xr:uid="{00000000-0000-0000-0000-000000000000}"/>
    </customSheetView>
    <customSheetView guid="{61CC7756-6460-40B7-9B8E-EFB297A4460E}" filter="1" showAutoFilter="1">
      <pageMargins left="0.7" right="0.7" top="0.75" bottom="0.75" header="0.3" footer="0.3"/>
      <autoFilter ref="A1:X1241" xr:uid="{00000000-0000-0000-0000-000000000000}">
        <filterColumn colId="0">
          <filters>
            <filter val="GlaxoSmithKline"/>
          </filters>
        </filterColumn>
      </autoFilter>
    </customSheetView>
    <customSheetView guid="{65012E1A-EE16-4ECD-9555-818CDAE39147}" filter="1" showAutoFilter="1">
      <pageMargins left="0.7" right="0.7" top="0.75" bottom="0.75" header="0.3" footer="0.3"/>
      <autoFilter ref="A1:X1241" xr:uid="{00000000-0000-0000-0000-000000000000}"/>
    </customSheetView>
    <customSheetView guid="{21FEF08D-7C34-4CCC-B58C-264BD98230EF}" filter="1" showAutoFilter="1">
      <pageMargins left="0.7" right="0.7" top="0.75" bottom="0.75" header="0.3" footer="0.3"/>
      <autoFilter ref="A1:X1241" xr:uid="{00000000-0000-0000-0000-000000000000}"/>
    </customSheetView>
    <customSheetView guid="{3B1FC2FB-0EA5-4AE2-9CFE-96FE443CC5F5}" filter="1" showAutoFilter="1">
      <pageMargins left="0.7" right="0.7" top="0.75" bottom="0.75" header="0.3" footer="0.3"/>
      <autoFilter ref="A1:X1241" xr:uid="{00000000-0000-0000-0000-000000000000}">
        <filterColumn colId="0">
          <filters>
            <filter val="Abbvie"/>
          </filters>
        </filterColumn>
      </autoFilter>
    </customSheetView>
    <customSheetView guid="{FF8A1C4D-6D76-494E-94A5-37AB05A1FC55}" filter="1" showAutoFilter="1">
      <pageMargins left="0.7" right="0.7" top="0.75" bottom="0.75" header="0.3" footer="0.3"/>
      <autoFilter ref="A1:X1241" xr:uid="{00000000-0000-0000-0000-000000000000}">
        <filterColumn colId="0">
          <filters>
            <filter val="Bayer"/>
          </filters>
        </filterColumn>
      </autoFilter>
    </customSheetView>
  </customSheetViews>
  <pageMargins left="0.7" right="0.7" top="0.75" bottom="0.75" header="0" footer="0"/>
  <pageSetup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2A5DB0"/>
  </sheetPr>
  <dimension ref="A1:AA9"/>
  <sheetViews>
    <sheetView workbookViewId="0">
      <pane ySplit="1" topLeftCell="A2" activePane="bottomLeft" state="frozen"/>
      <selection pane="bottomLeft"/>
    </sheetView>
  </sheetViews>
  <sheetFormatPr defaultColWidth="14.44140625" defaultRowHeight="15.75" customHeight="1" x14ac:dyDescent="0.25"/>
  <cols>
    <col min="1" max="1" width="36.88671875" customWidth="1"/>
    <col min="2" max="3" width="35.6640625" customWidth="1"/>
    <col min="4" max="5" width="22.88671875" customWidth="1"/>
    <col min="6" max="7" width="15.6640625" customWidth="1"/>
    <col min="8" max="8" width="9.5546875" customWidth="1"/>
    <col min="9" max="27" width="20.6640625" customWidth="1"/>
  </cols>
  <sheetData>
    <row r="1" spans="1:27" ht="34.5" customHeight="1" x14ac:dyDescent="0.25">
      <c r="A1" s="114" t="s">
        <v>1726</v>
      </c>
      <c r="B1" s="47" t="s">
        <v>10</v>
      </c>
      <c r="C1" s="47" t="s">
        <v>11</v>
      </c>
      <c r="D1" s="8" t="s">
        <v>1687</v>
      </c>
      <c r="E1" s="47" t="s">
        <v>1688</v>
      </c>
      <c r="F1" s="47" t="s">
        <v>1682</v>
      </c>
      <c r="G1" s="47" t="s">
        <v>1683</v>
      </c>
      <c r="H1" s="69"/>
      <c r="I1" s="69"/>
      <c r="J1" s="69"/>
      <c r="K1" s="69"/>
      <c r="L1" s="69"/>
      <c r="M1" s="69"/>
      <c r="N1" s="69"/>
      <c r="O1" s="69"/>
      <c r="P1" s="69"/>
      <c r="Q1" s="69"/>
      <c r="R1" s="69"/>
      <c r="S1" s="69"/>
      <c r="T1" s="69"/>
      <c r="U1" s="69"/>
      <c r="V1" s="69"/>
      <c r="W1" s="69"/>
      <c r="X1" s="69"/>
      <c r="Y1" s="69"/>
      <c r="Z1" s="69"/>
      <c r="AA1" s="69"/>
    </row>
    <row r="2" spans="1:27" ht="28.5" customHeight="1" x14ac:dyDescent="0.25">
      <c r="A2" s="11" t="s">
        <v>1727</v>
      </c>
      <c r="B2" s="11" t="s">
        <v>223</v>
      </c>
      <c r="C2" s="11" t="s">
        <v>221</v>
      </c>
      <c r="D2" s="64">
        <v>4.8710000000000004</v>
      </c>
      <c r="E2" s="64">
        <v>9.3260000000000005</v>
      </c>
      <c r="F2" s="51">
        <f t="shared" ref="F2:F9" si="0">(D2-E2)</f>
        <v>-4.4550000000000001</v>
      </c>
      <c r="G2" s="51">
        <f t="shared" ref="G2:G9" si="1">(F2/E2)*100</f>
        <v>-47.769676174136819</v>
      </c>
      <c r="H2" s="18"/>
      <c r="I2" s="18"/>
      <c r="J2" s="18"/>
      <c r="K2" s="18"/>
      <c r="L2" s="18"/>
      <c r="M2" s="18"/>
      <c r="N2" s="18"/>
      <c r="O2" s="18"/>
      <c r="P2" s="18"/>
      <c r="Q2" s="18"/>
      <c r="R2" s="18"/>
      <c r="S2" s="18"/>
      <c r="T2" s="18"/>
      <c r="U2" s="18"/>
      <c r="V2" s="18"/>
      <c r="W2" s="18"/>
      <c r="X2" s="18"/>
      <c r="Y2" s="18"/>
      <c r="Z2" s="18"/>
      <c r="AA2" s="18"/>
    </row>
    <row r="3" spans="1:27" ht="28.5" customHeight="1" x14ac:dyDescent="0.25">
      <c r="A3" s="11" t="s">
        <v>494</v>
      </c>
      <c r="B3" s="11" t="s">
        <v>223</v>
      </c>
      <c r="C3" s="11" t="s">
        <v>221</v>
      </c>
      <c r="D3" s="64">
        <v>6.7110000000000003</v>
      </c>
      <c r="E3" s="64">
        <v>3.948</v>
      </c>
      <c r="F3" s="51">
        <f t="shared" si="0"/>
        <v>2.7630000000000003</v>
      </c>
      <c r="G3" s="51">
        <f t="shared" si="1"/>
        <v>69.984802431610944</v>
      </c>
      <c r="H3" s="18"/>
      <c r="I3" s="18"/>
      <c r="J3" s="18"/>
      <c r="K3" s="18"/>
      <c r="L3" s="18"/>
      <c r="M3" s="18"/>
      <c r="N3" s="18"/>
      <c r="O3" s="18"/>
      <c r="P3" s="18"/>
      <c r="Q3" s="18"/>
      <c r="R3" s="18"/>
      <c r="S3" s="18"/>
      <c r="T3" s="18"/>
      <c r="U3" s="18"/>
      <c r="V3" s="18"/>
      <c r="W3" s="18"/>
      <c r="X3" s="18"/>
      <c r="Y3" s="18"/>
      <c r="Z3" s="18"/>
      <c r="AA3" s="18"/>
    </row>
    <row r="4" spans="1:27" ht="28.5" customHeight="1" x14ac:dyDescent="0.25">
      <c r="A4" s="11" t="s">
        <v>495</v>
      </c>
      <c r="B4" s="11" t="s">
        <v>496</v>
      </c>
      <c r="C4" s="36" t="s">
        <v>97</v>
      </c>
      <c r="D4" s="64">
        <v>27.654</v>
      </c>
      <c r="E4" s="64">
        <v>21.754999999999999</v>
      </c>
      <c r="F4" s="51">
        <f t="shared" si="0"/>
        <v>5.8990000000000009</v>
      </c>
      <c r="G4" s="51">
        <f t="shared" si="1"/>
        <v>27.115605607906236</v>
      </c>
      <c r="H4" s="18"/>
      <c r="I4" s="18"/>
      <c r="J4" s="18"/>
      <c r="K4" s="18"/>
      <c r="L4" s="18"/>
      <c r="M4" s="18"/>
      <c r="N4" s="18"/>
      <c r="O4" s="18"/>
      <c r="P4" s="18"/>
      <c r="Q4" s="18"/>
      <c r="R4" s="18"/>
      <c r="S4" s="18"/>
      <c r="T4" s="18"/>
      <c r="U4" s="18"/>
      <c r="V4" s="18"/>
      <c r="W4" s="18"/>
      <c r="X4" s="18"/>
      <c r="Y4" s="18"/>
      <c r="Z4" s="18"/>
      <c r="AA4" s="18"/>
    </row>
    <row r="5" spans="1:27" ht="28.5" customHeight="1" x14ac:dyDescent="0.25">
      <c r="A5" s="11" t="s">
        <v>497</v>
      </c>
      <c r="B5" s="11" t="s">
        <v>498</v>
      </c>
      <c r="C5" s="36" t="s">
        <v>97</v>
      </c>
      <c r="D5" s="115">
        <v>0</v>
      </c>
      <c r="E5" s="116">
        <v>0.42499999999999999</v>
      </c>
      <c r="F5" s="115">
        <f t="shared" si="0"/>
        <v>-0.42499999999999999</v>
      </c>
      <c r="G5" s="51">
        <f t="shared" si="1"/>
        <v>-100</v>
      </c>
      <c r="H5" s="18"/>
      <c r="I5" s="18"/>
      <c r="J5" s="18"/>
      <c r="K5" s="18"/>
      <c r="L5" s="18"/>
      <c r="M5" s="18"/>
      <c r="N5" s="18"/>
      <c r="O5" s="18"/>
      <c r="P5" s="18"/>
      <c r="Q5" s="18"/>
      <c r="R5" s="18"/>
      <c r="S5" s="18"/>
      <c r="T5" s="18"/>
      <c r="U5" s="18"/>
      <c r="V5" s="18"/>
      <c r="W5" s="18"/>
      <c r="X5" s="18"/>
      <c r="Y5" s="18"/>
      <c r="Z5" s="18"/>
      <c r="AA5" s="18"/>
    </row>
    <row r="6" spans="1:27" ht="28.5" customHeight="1" x14ac:dyDescent="0.25">
      <c r="A6" s="11" t="s">
        <v>499</v>
      </c>
      <c r="B6" s="11"/>
      <c r="C6" s="11"/>
      <c r="D6" s="64">
        <v>9.4329999999999998</v>
      </c>
      <c r="E6" s="64">
        <v>8.2569999999999997</v>
      </c>
      <c r="F6" s="51">
        <f t="shared" si="0"/>
        <v>1.1760000000000002</v>
      </c>
      <c r="G6" s="51">
        <f t="shared" si="1"/>
        <v>14.242460942230837</v>
      </c>
      <c r="H6" s="18"/>
      <c r="I6" s="18"/>
      <c r="J6" s="18"/>
      <c r="K6" s="18"/>
      <c r="L6" s="18"/>
      <c r="M6" s="18"/>
      <c r="N6" s="18"/>
      <c r="O6" s="18"/>
      <c r="P6" s="18"/>
      <c r="Q6" s="18"/>
      <c r="R6" s="18"/>
      <c r="S6" s="18"/>
      <c r="T6" s="18"/>
      <c r="U6" s="18"/>
      <c r="V6" s="18"/>
      <c r="W6" s="18"/>
      <c r="X6" s="18"/>
      <c r="Y6" s="18"/>
      <c r="Z6" s="18"/>
      <c r="AA6" s="18"/>
    </row>
    <row r="7" spans="1:27" ht="28.5" customHeight="1" x14ac:dyDescent="0.25">
      <c r="A7" s="11" t="s">
        <v>500</v>
      </c>
      <c r="B7" s="53"/>
      <c r="C7" s="53"/>
      <c r="D7" s="64">
        <v>7.415</v>
      </c>
      <c r="E7" s="64">
        <v>12.548999999999999</v>
      </c>
      <c r="F7" s="51">
        <f t="shared" si="0"/>
        <v>-5.1339999999999995</v>
      </c>
      <c r="G7" s="51">
        <f t="shared" si="1"/>
        <v>-40.911626424416283</v>
      </c>
      <c r="H7" s="18"/>
      <c r="I7" s="18"/>
      <c r="J7" s="18"/>
      <c r="K7" s="18"/>
      <c r="L7" s="18"/>
      <c r="M7" s="18"/>
      <c r="N7" s="18"/>
      <c r="O7" s="18"/>
      <c r="P7" s="18"/>
      <c r="Q7" s="18"/>
      <c r="R7" s="18"/>
      <c r="S7" s="18"/>
      <c r="T7" s="18"/>
      <c r="U7" s="18"/>
      <c r="V7" s="18"/>
      <c r="W7" s="18"/>
      <c r="X7" s="18"/>
      <c r="Y7" s="18"/>
      <c r="Z7" s="18"/>
      <c r="AA7" s="18"/>
    </row>
    <row r="8" spans="1:27" ht="28.5" customHeight="1" x14ac:dyDescent="0.25">
      <c r="A8" s="11" t="s">
        <v>23</v>
      </c>
      <c r="B8" s="11"/>
      <c r="C8" s="11"/>
      <c r="D8" s="64">
        <v>4.8650000000000002</v>
      </c>
      <c r="E8" s="64">
        <v>6.2350000000000003</v>
      </c>
      <c r="F8" s="51">
        <f t="shared" si="0"/>
        <v>-1.37</v>
      </c>
      <c r="G8" s="51">
        <f t="shared" si="1"/>
        <v>-21.972734562951082</v>
      </c>
      <c r="H8" s="18"/>
      <c r="I8" s="18"/>
      <c r="J8" s="18"/>
      <c r="K8" s="18"/>
      <c r="L8" s="18"/>
      <c r="M8" s="18"/>
      <c r="N8" s="18"/>
      <c r="O8" s="18"/>
      <c r="P8" s="18"/>
      <c r="Q8" s="18"/>
      <c r="R8" s="18"/>
      <c r="S8" s="18"/>
      <c r="T8" s="18"/>
      <c r="U8" s="18"/>
      <c r="V8" s="18"/>
      <c r="W8" s="18"/>
      <c r="X8" s="18"/>
      <c r="Y8" s="18"/>
      <c r="Z8" s="18"/>
      <c r="AA8" s="18"/>
    </row>
    <row r="9" spans="1:27" ht="28.5" customHeight="1" x14ac:dyDescent="0.25">
      <c r="A9" s="26" t="s">
        <v>501</v>
      </c>
      <c r="B9" s="26"/>
      <c r="C9" s="26"/>
      <c r="D9" s="102">
        <v>60.948999999999998</v>
      </c>
      <c r="E9" s="102">
        <v>62.494999999999997</v>
      </c>
      <c r="F9" s="19">
        <f t="shared" si="0"/>
        <v>-1.5459999999999994</v>
      </c>
      <c r="G9" s="19">
        <f t="shared" si="1"/>
        <v>-2.4737979038323057</v>
      </c>
      <c r="H9" s="18"/>
      <c r="I9" s="18"/>
      <c r="J9" s="18"/>
      <c r="K9" s="54"/>
      <c r="L9" s="54"/>
      <c r="M9" s="54"/>
      <c r="N9" s="54"/>
      <c r="O9" s="54"/>
      <c r="P9" s="54"/>
      <c r="Q9" s="54"/>
      <c r="R9" s="54"/>
      <c r="S9" s="54"/>
      <c r="T9" s="54"/>
      <c r="U9" s="54"/>
      <c r="V9" s="54"/>
      <c r="W9" s="54"/>
      <c r="X9" s="54"/>
      <c r="Y9" s="54"/>
      <c r="Z9" s="54"/>
      <c r="AA9" s="54"/>
    </row>
  </sheetData>
  <pageMargins left="0.7" right="0.7" top="0.75" bottom="0.75" header="0" footer="0"/>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2A5DB0"/>
  </sheetPr>
  <dimension ref="A1:AA34"/>
  <sheetViews>
    <sheetView workbookViewId="0">
      <pane ySplit="1" topLeftCell="A2" activePane="bottomLeft" state="frozen"/>
      <selection pane="bottomLeft"/>
    </sheetView>
  </sheetViews>
  <sheetFormatPr defaultColWidth="14.44140625" defaultRowHeight="15.75" customHeight="1" x14ac:dyDescent="0.25"/>
  <cols>
    <col min="1" max="1" width="33.44140625" customWidth="1"/>
    <col min="2" max="2" width="23.5546875" customWidth="1"/>
    <col min="3" max="3" width="29" customWidth="1"/>
    <col min="4" max="4" width="15.109375" customWidth="1"/>
    <col min="5" max="5" width="15.6640625" customWidth="1"/>
    <col min="6" max="6" width="19.6640625" customWidth="1"/>
    <col min="7" max="7" width="14.33203125" customWidth="1"/>
    <col min="8" max="10" width="10.88671875" customWidth="1"/>
    <col min="11" max="11" width="15.33203125" customWidth="1"/>
    <col min="12" max="12" width="13.44140625" customWidth="1"/>
    <col min="13" max="27" width="31" customWidth="1"/>
  </cols>
  <sheetData>
    <row r="1" spans="1:27" ht="34.5" customHeight="1" x14ac:dyDescent="0.25">
      <c r="A1" s="114" t="s">
        <v>1728</v>
      </c>
      <c r="B1" s="47" t="s">
        <v>10</v>
      </c>
      <c r="C1" s="47" t="s">
        <v>11</v>
      </c>
      <c r="D1" s="9" t="s">
        <v>1680</v>
      </c>
      <c r="E1" s="9" t="s">
        <v>1681</v>
      </c>
      <c r="F1" s="47" t="s">
        <v>1682</v>
      </c>
      <c r="G1" s="48" t="s">
        <v>1702</v>
      </c>
      <c r="H1" s="54"/>
      <c r="I1" s="54"/>
      <c r="J1" s="54"/>
      <c r="K1" s="54"/>
      <c r="L1" s="54"/>
      <c r="M1" s="117"/>
      <c r="N1" s="117"/>
      <c r="O1" s="117"/>
      <c r="P1" s="117"/>
      <c r="Q1" s="117"/>
      <c r="R1" s="117"/>
      <c r="S1" s="117"/>
      <c r="T1" s="117"/>
      <c r="U1" s="117"/>
      <c r="V1" s="117"/>
      <c r="W1" s="117"/>
      <c r="X1" s="117"/>
      <c r="Y1" s="117"/>
      <c r="Z1" s="117"/>
      <c r="AA1" s="117"/>
    </row>
    <row r="2" spans="1:27" ht="28.5" customHeight="1" x14ac:dyDescent="0.25">
      <c r="A2" s="49" t="s">
        <v>233</v>
      </c>
      <c r="B2" s="49" t="s">
        <v>1729</v>
      </c>
      <c r="C2" s="49" t="s">
        <v>97</v>
      </c>
      <c r="D2" s="50">
        <f>19.9+19.1+21.9+17.4</f>
        <v>78.3</v>
      </c>
      <c r="E2" s="50">
        <f>17.3+21.9+18.3+22.1</f>
        <v>79.599999999999994</v>
      </c>
      <c r="F2" s="50">
        <f t="shared" ref="F2:F34" si="0">D2-E2</f>
        <v>-1.2999999999999972</v>
      </c>
      <c r="G2" s="50">
        <f t="shared" ref="G2:G15" si="1">(F2/E2)*100</f>
        <v>-1.6331658291457254</v>
      </c>
      <c r="H2" s="89"/>
      <c r="I2" s="89"/>
      <c r="J2" s="89"/>
      <c r="K2" s="89"/>
      <c r="L2" s="117"/>
      <c r="M2" s="89"/>
      <c r="N2" s="89"/>
      <c r="O2" s="89"/>
      <c r="P2" s="89"/>
      <c r="Q2" s="89"/>
      <c r="R2" s="89"/>
      <c r="S2" s="89"/>
      <c r="T2" s="89"/>
      <c r="U2" s="89"/>
      <c r="V2" s="89"/>
      <c r="W2" s="89"/>
      <c r="X2" s="89"/>
      <c r="Y2" s="89"/>
      <c r="Z2" s="89"/>
      <c r="AA2" s="89"/>
    </row>
    <row r="3" spans="1:27" ht="28.5" customHeight="1" x14ac:dyDescent="0.25">
      <c r="A3" s="49" t="s">
        <v>503</v>
      </c>
      <c r="B3" s="49" t="s">
        <v>504</v>
      </c>
      <c r="C3" s="49" t="s">
        <v>113</v>
      </c>
      <c r="D3" s="13">
        <f>17.4+19.8+18.5+21.5</f>
        <v>77.2</v>
      </c>
      <c r="E3" s="13">
        <f>15.7+21.6+20.2+23.8</f>
        <v>81.3</v>
      </c>
      <c r="F3" s="50">
        <f t="shared" si="0"/>
        <v>-4.0999999999999943</v>
      </c>
      <c r="G3" s="50">
        <f t="shared" si="1"/>
        <v>-5.0430504305042989</v>
      </c>
      <c r="H3" s="89"/>
      <c r="I3" s="89"/>
      <c r="J3" s="89"/>
      <c r="K3" s="89"/>
      <c r="L3" s="89"/>
      <c r="M3" s="89"/>
      <c r="N3" s="89"/>
      <c r="O3" s="89"/>
      <c r="P3" s="89"/>
      <c r="Q3" s="89"/>
      <c r="R3" s="89"/>
      <c r="S3" s="89"/>
      <c r="T3" s="89"/>
      <c r="U3" s="89"/>
      <c r="V3" s="89"/>
      <c r="W3" s="89"/>
      <c r="X3" s="89"/>
      <c r="Y3" s="89"/>
      <c r="Z3" s="89"/>
      <c r="AA3" s="89"/>
    </row>
    <row r="4" spans="1:27" ht="28.5" customHeight="1" x14ac:dyDescent="0.25">
      <c r="A4" s="49" t="s">
        <v>505</v>
      </c>
      <c r="B4" s="49" t="s">
        <v>143</v>
      </c>
      <c r="C4" s="49" t="s">
        <v>126</v>
      </c>
      <c r="D4" s="50">
        <f>6.7+8.7+8.3+9.4</f>
        <v>33.1</v>
      </c>
      <c r="E4" s="50">
        <f>6.4+8.2+7.3+8.8</f>
        <v>30.7</v>
      </c>
      <c r="F4" s="50">
        <f t="shared" si="0"/>
        <v>2.4000000000000021</v>
      </c>
      <c r="G4" s="50">
        <f t="shared" si="1"/>
        <v>7.8175895765472392</v>
      </c>
      <c r="H4" s="89"/>
      <c r="I4" s="89"/>
      <c r="J4" s="89"/>
      <c r="K4" s="89"/>
      <c r="L4" s="89"/>
      <c r="M4" s="89"/>
      <c r="N4" s="89"/>
      <c r="O4" s="89"/>
      <c r="P4" s="89"/>
      <c r="Q4" s="89"/>
      <c r="R4" s="89"/>
      <c r="S4" s="89"/>
      <c r="T4" s="89"/>
      <c r="U4" s="89"/>
      <c r="V4" s="89"/>
      <c r="W4" s="89"/>
      <c r="X4" s="89"/>
      <c r="Y4" s="89"/>
      <c r="Z4" s="89"/>
      <c r="AA4" s="89"/>
    </row>
    <row r="5" spans="1:27" ht="28.5" customHeight="1" x14ac:dyDescent="0.25">
      <c r="A5" s="49" t="s">
        <v>506</v>
      </c>
      <c r="B5" s="49" t="s">
        <v>507</v>
      </c>
      <c r="C5" s="12" t="s">
        <v>62</v>
      </c>
      <c r="D5" s="50">
        <f>10.3+12.8+2.1+2</f>
        <v>27.200000000000003</v>
      </c>
      <c r="E5" s="50">
        <f>10.7+13.7+11.9+14.5</f>
        <v>50.8</v>
      </c>
      <c r="F5" s="50">
        <f t="shared" si="0"/>
        <v>-23.599999999999994</v>
      </c>
      <c r="G5" s="50">
        <f t="shared" si="1"/>
        <v>-46.456692913385815</v>
      </c>
      <c r="H5" s="89"/>
      <c r="I5" s="89"/>
      <c r="J5" s="89"/>
      <c r="K5" s="89"/>
      <c r="L5" s="89"/>
      <c r="M5" s="89"/>
      <c r="N5" s="89"/>
      <c r="O5" s="89"/>
      <c r="P5" s="89"/>
      <c r="Q5" s="89"/>
      <c r="R5" s="89"/>
      <c r="S5" s="89"/>
      <c r="T5" s="89"/>
      <c r="U5" s="89"/>
      <c r="V5" s="89"/>
      <c r="W5" s="89"/>
      <c r="X5" s="89"/>
      <c r="Y5" s="89"/>
      <c r="Z5" s="89"/>
      <c r="AA5" s="89"/>
    </row>
    <row r="6" spans="1:27" ht="28.5" customHeight="1" x14ac:dyDescent="0.25">
      <c r="A6" s="49" t="s">
        <v>508</v>
      </c>
      <c r="B6" s="49" t="s">
        <v>509</v>
      </c>
      <c r="C6" s="49" t="s">
        <v>201</v>
      </c>
      <c r="D6" s="50">
        <f>5+6.6+5.9+6.7</f>
        <v>24.2</v>
      </c>
      <c r="E6" s="50">
        <f>5.4+6.9+5.9+6.9</f>
        <v>25.1</v>
      </c>
      <c r="F6" s="50">
        <f t="shared" si="0"/>
        <v>-0.90000000000000213</v>
      </c>
      <c r="G6" s="50">
        <f t="shared" si="1"/>
        <v>-3.5856573705179371</v>
      </c>
      <c r="H6" s="89"/>
      <c r="I6" s="89"/>
      <c r="J6" s="89"/>
      <c r="K6" s="89"/>
      <c r="L6" s="89"/>
      <c r="M6" s="89"/>
      <c r="N6" s="89"/>
      <c r="O6" s="89"/>
      <c r="P6" s="89"/>
      <c r="Q6" s="89"/>
      <c r="R6" s="89"/>
      <c r="S6" s="89"/>
      <c r="T6" s="89"/>
      <c r="U6" s="89"/>
      <c r="V6" s="89"/>
      <c r="W6" s="89"/>
      <c r="X6" s="89"/>
      <c r="Y6" s="89"/>
      <c r="Z6" s="89"/>
      <c r="AA6" s="89"/>
    </row>
    <row r="7" spans="1:27" ht="28.5" customHeight="1" x14ac:dyDescent="0.25">
      <c r="A7" s="49" t="s">
        <v>510</v>
      </c>
      <c r="B7" s="49" t="s">
        <v>511</v>
      </c>
      <c r="C7" s="12" t="s">
        <v>89</v>
      </c>
      <c r="D7" s="50">
        <f>5.5+6.2+6.1+6.8</f>
        <v>24.599999999999998</v>
      </c>
      <c r="E7" s="50">
        <f>6.2+7.8+7+7.9</f>
        <v>28.9</v>
      </c>
      <c r="F7" s="50">
        <f t="shared" si="0"/>
        <v>-4.3000000000000007</v>
      </c>
      <c r="G7" s="50">
        <f t="shared" si="1"/>
        <v>-14.878892733564017</v>
      </c>
      <c r="H7" s="89"/>
      <c r="I7" s="89"/>
      <c r="J7" s="89"/>
      <c r="K7" s="89"/>
      <c r="L7" s="89"/>
      <c r="M7" s="89"/>
      <c r="N7" s="89"/>
      <c r="O7" s="89"/>
      <c r="P7" s="89"/>
      <c r="Q7" s="89"/>
      <c r="R7" s="89"/>
      <c r="S7" s="89"/>
      <c r="T7" s="89"/>
      <c r="U7" s="89"/>
      <c r="V7" s="89"/>
      <c r="W7" s="89"/>
      <c r="X7" s="89"/>
      <c r="Y7" s="89"/>
      <c r="Z7" s="89"/>
      <c r="AA7" s="89"/>
    </row>
    <row r="8" spans="1:27" ht="28.5" customHeight="1" x14ac:dyDescent="0.25">
      <c r="A8" s="49" t="s">
        <v>512</v>
      </c>
      <c r="B8" s="49" t="s">
        <v>143</v>
      </c>
      <c r="C8" s="49" t="s">
        <v>126</v>
      </c>
      <c r="D8" s="50">
        <f>3.9+5+4.7+5.2</f>
        <v>18.8</v>
      </c>
      <c r="E8" s="50">
        <f>3.7+4.7+4.5+4.8</f>
        <v>17.7</v>
      </c>
      <c r="F8" s="50">
        <f t="shared" si="0"/>
        <v>1.1000000000000014</v>
      </c>
      <c r="G8" s="50">
        <f t="shared" si="1"/>
        <v>6.2146892655367312</v>
      </c>
      <c r="H8" s="89"/>
      <c r="I8" s="89"/>
      <c r="J8" s="89"/>
      <c r="K8" s="89"/>
      <c r="L8" s="89"/>
      <c r="M8" s="89"/>
      <c r="N8" s="89"/>
      <c r="O8" s="89"/>
      <c r="P8" s="89"/>
      <c r="Q8" s="89"/>
      <c r="R8" s="89"/>
      <c r="S8" s="89"/>
      <c r="T8" s="89"/>
      <c r="U8" s="89"/>
      <c r="V8" s="89"/>
      <c r="W8" s="89"/>
      <c r="X8" s="89"/>
      <c r="Y8" s="89"/>
      <c r="Z8" s="89"/>
      <c r="AA8" s="89"/>
    </row>
    <row r="9" spans="1:27" ht="28.5" customHeight="1" x14ac:dyDescent="0.25">
      <c r="A9" s="49" t="s">
        <v>513</v>
      </c>
      <c r="B9" s="49" t="s">
        <v>514</v>
      </c>
      <c r="C9" s="49" t="s">
        <v>89</v>
      </c>
      <c r="D9" s="50">
        <f>7.7+0.6+0.7+0.9</f>
        <v>9.9</v>
      </c>
      <c r="E9" s="50">
        <f>13.7+0+1+10.5</f>
        <v>25.2</v>
      </c>
      <c r="F9" s="50">
        <f t="shared" si="0"/>
        <v>-15.299999999999999</v>
      </c>
      <c r="G9" s="50">
        <f t="shared" si="1"/>
        <v>-60.714285714285708</v>
      </c>
      <c r="H9" s="89"/>
      <c r="I9" s="89"/>
      <c r="J9" s="89"/>
      <c r="K9" s="89"/>
      <c r="L9" s="89"/>
      <c r="M9" s="89"/>
      <c r="N9" s="89"/>
      <c r="O9" s="89"/>
      <c r="P9" s="89"/>
      <c r="Q9" s="89"/>
      <c r="R9" s="89"/>
      <c r="S9" s="89"/>
      <c r="T9" s="89"/>
      <c r="U9" s="89"/>
      <c r="V9" s="89"/>
      <c r="W9" s="89"/>
      <c r="X9" s="89"/>
      <c r="Y9" s="89"/>
      <c r="Z9" s="89"/>
      <c r="AA9" s="89"/>
    </row>
    <row r="10" spans="1:27" ht="28.5" customHeight="1" x14ac:dyDescent="0.25">
      <c r="A10" s="12" t="s">
        <v>515</v>
      </c>
      <c r="B10" s="24" t="s">
        <v>516</v>
      </c>
      <c r="C10" s="24" t="s">
        <v>62</v>
      </c>
      <c r="D10" s="13">
        <f>2.6+4.3+4.9+6.2</f>
        <v>18</v>
      </c>
      <c r="E10" s="13">
        <f>2+1.3+2.1</f>
        <v>5.4</v>
      </c>
      <c r="F10" s="50">
        <f t="shared" si="0"/>
        <v>12.6</v>
      </c>
      <c r="G10" s="50">
        <f t="shared" si="1"/>
        <v>233.33333333333331</v>
      </c>
      <c r="H10" s="89"/>
      <c r="I10" s="89"/>
      <c r="J10" s="89"/>
      <c r="K10" s="89"/>
      <c r="L10" s="89"/>
      <c r="M10" s="89"/>
      <c r="N10" s="89"/>
      <c r="O10" s="89"/>
      <c r="P10" s="89"/>
      <c r="Q10" s="89"/>
      <c r="R10" s="89"/>
      <c r="S10" s="89"/>
      <c r="T10" s="89"/>
      <c r="U10" s="89"/>
      <c r="V10" s="89"/>
      <c r="W10" s="89"/>
      <c r="X10" s="89"/>
      <c r="Y10" s="89"/>
      <c r="Z10" s="89"/>
      <c r="AA10" s="89"/>
    </row>
    <row r="11" spans="1:27" ht="28.5" customHeight="1" x14ac:dyDescent="0.25">
      <c r="A11" s="49" t="s">
        <v>517</v>
      </c>
      <c r="B11" s="49" t="s">
        <v>518</v>
      </c>
      <c r="C11" s="49" t="s">
        <v>201</v>
      </c>
      <c r="D11" s="50">
        <f>3+3.9+3.7+4.3</f>
        <v>14.900000000000002</v>
      </c>
      <c r="E11" s="50">
        <f>2.4+3.2+2.9+3.7</f>
        <v>12.2</v>
      </c>
      <c r="F11" s="50">
        <f t="shared" si="0"/>
        <v>2.7000000000000028</v>
      </c>
      <c r="G11" s="50">
        <f t="shared" si="1"/>
        <v>22.13114754098363</v>
      </c>
      <c r="H11" s="89"/>
      <c r="I11" s="89"/>
      <c r="J11" s="89"/>
      <c r="K11" s="89"/>
      <c r="L11" s="89"/>
      <c r="M11" s="89"/>
      <c r="N11" s="89"/>
      <c r="O11" s="89"/>
      <c r="P11" s="89"/>
      <c r="Q11" s="89"/>
      <c r="R11" s="89"/>
      <c r="S11" s="89"/>
      <c r="T11" s="89"/>
      <c r="U11" s="89"/>
      <c r="V11" s="89"/>
      <c r="W11" s="89"/>
      <c r="X11" s="89"/>
      <c r="Y11" s="89"/>
      <c r="Z11" s="89"/>
      <c r="AA11" s="89"/>
    </row>
    <row r="12" spans="1:27" ht="28.5" customHeight="1" x14ac:dyDescent="0.25">
      <c r="A12" s="49" t="s">
        <v>519</v>
      </c>
      <c r="B12" s="11" t="s">
        <v>520</v>
      </c>
      <c r="C12" s="11" t="s">
        <v>62</v>
      </c>
      <c r="D12" s="50">
        <f>2.7+3.8+3.4+4.1</f>
        <v>14</v>
      </c>
      <c r="E12" s="50">
        <f>1.8+2.7+2.6+3.3</f>
        <v>10.399999999999999</v>
      </c>
      <c r="F12" s="50">
        <f t="shared" si="0"/>
        <v>3.6000000000000014</v>
      </c>
      <c r="G12" s="50">
        <f t="shared" si="1"/>
        <v>34.615384615384635</v>
      </c>
      <c r="H12" s="89"/>
      <c r="I12" s="89"/>
      <c r="J12" s="89"/>
      <c r="K12" s="89"/>
      <c r="L12" s="89"/>
      <c r="M12" s="89"/>
      <c r="N12" s="89"/>
      <c r="O12" s="89"/>
      <c r="P12" s="89"/>
      <c r="Q12" s="89"/>
      <c r="R12" s="89"/>
      <c r="S12" s="89"/>
      <c r="T12" s="89"/>
      <c r="U12" s="89"/>
      <c r="V12" s="89"/>
      <c r="W12" s="89"/>
      <c r="X12" s="89"/>
      <c r="Y12" s="89"/>
      <c r="Z12" s="89"/>
      <c r="AA12" s="89"/>
    </row>
    <row r="13" spans="1:27" ht="28.5" customHeight="1" x14ac:dyDescent="0.25">
      <c r="A13" s="49" t="s">
        <v>521</v>
      </c>
      <c r="B13" s="49" t="s">
        <v>522</v>
      </c>
      <c r="C13" s="49" t="s">
        <v>113</v>
      </c>
      <c r="D13" s="13">
        <f>2.9+3.8+3.3+3.8</f>
        <v>13.8</v>
      </c>
      <c r="E13" s="13">
        <f>3+3.8+3.2+4</f>
        <v>14</v>
      </c>
      <c r="F13" s="50">
        <f t="shared" si="0"/>
        <v>-0.19999999999999929</v>
      </c>
      <c r="G13" s="50">
        <f t="shared" si="1"/>
        <v>-1.4285714285714235</v>
      </c>
      <c r="H13" s="89"/>
      <c r="I13" s="89"/>
      <c r="J13" s="89"/>
      <c r="K13" s="89"/>
      <c r="L13" s="89"/>
      <c r="M13" s="89"/>
      <c r="N13" s="89"/>
      <c r="O13" s="89"/>
      <c r="P13" s="89"/>
      <c r="Q13" s="89"/>
      <c r="R13" s="89"/>
      <c r="S13" s="89"/>
      <c r="T13" s="89"/>
      <c r="U13" s="89"/>
      <c r="V13" s="89"/>
      <c r="W13" s="89"/>
      <c r="X13" s="89"/>
      <c r="Y13" s="89"/>
      <c r="Z13" s="89"/>
      <c r="AA13" s="89"/>
    </row>
    <row r="14" spans="1:27" ht="28.5" customHeight="1" x14ac:dyDescent="0.25">
      <c r="A14" s="49" t="s">
        <v>523</v>
      </c>
      <c r="B14" s="11" t="s">
        <v>524</v>
      </c>
      <c r="C14" s="49" t="s">
        <v>129</v>
      </c>
      <c r="D14" s="50">
        <f>3+3.6+3.2+3.6</f>
        <v>13.4</v>
      </c>
      <c r="E14" s="50">
        <f>3.3+4.2+3.4+4.1</f>
        <v>15</v>
      </c>
      <c r="F14" s="50">
        <f t="shared" si="0"/>
        <v>-1.5999999999999996</v>
      </c>
      <c r="G14" s="50">
        <f t="shared" si="1"/>
        <v>-10.666666666666664</v>
      </c>
      <c r="H14" s="89"/>
      <c r="I14" s="89"/>
      <c r="J14" s="89"/>
      <c r="K14" s="89"/>
      <c r="L14" s="89"/>
      <c r="M14" s="89"/>
      <c r="N14" s="89"/>
      <c r="O14" s="89"/>
      <c r="P14" s="89"/>
      <c r="Q14" s="89"/>
      <c r="R14" s="89"/>
      <c r="S14" s="89"/>
      <c r="T14" s="89"/>
      <c r="U14" s="89"/>
      <c r="V14" s="89"/>
      <c r="W14" s="89"/>
      <c r="X14" s="89"/>
      <c r="Y14" s="89"/>
      <c r="Z14" s="89"/>
      <c r="AA14" s="89"/>
    </row>
    <row r="15" spans="1:27" ht="28.5" customHeight="1" x14ac:dyDescent="0.25">
      <c r="A15" s="24" t="s">
        <v>525</v>
      </c>
      <c r="B15" s="49" t="s">
        <v>526</v>
      </c>
      <c r="C15" s="49" t="s">
        <v>129</v>
      </c>
      <c r="D15" s="13">
        <f>2.2+2.7+2.2+2.5</f>
        <v>9.6000000000000014</v>
      </c>
      <c r="E15" s="13">
        <f>2.9+3.5+2.7+3.2</f>
        <v>12.3</v>
      </c>
      <c r="F15" s="50">
        <f t="shared" si="0"/>
        <v>-2.6999999999999993</v>
      </c>
      <c r="G15" s="50">
        <f t="shared" si="1"/>
        <v>-21.951219512195113</v>
      </c>
      <c r="H15" s="89"/>
      <c r="I15" s="89"/>
      <c r="J15" s="89"/>
      <c r="K15" s="89"/>
      <c r="L15" s="89"/>
      <c r="M15" s="89"/>
      <c r="N15" s="89"/>
      <c r="O15" s="89"/>
      <c r="P15" s="89"/>
      <c r="Q15" s="89"/>
      <c r="R15" s="89"/>
      <c r="S15" s="89"/>
      <c r="T15" s="89"/>
      <c r="U15" s="89"/>
      <c r="V15" s="89"/>
      <c r="W15" s="89"/>
      <c r="X15" s="89"/>
      <c r="Y15" s="89"/>
      <c r="Z15" s="89"/>
      <c r="AA15" s="89"/>
    </row>
    <row r="16" spans="1:27" ht="28.5" customHeight="1" x14ac:dyDescent="0.25">
      <c r="A16" s="12" t="s">
        <v>527</v>
      </c>
      <c r="B16" s="24" t="s">
        <v>528</v>
      </c>
      <c r="C16" s="24" t="s">
        <v>49</v>
      </c>
      <c r="D16" s="13">
        <f>0+0.2+0.8+1.7</f>
        <v>2.7</v>
      </c>
      <c r="E16" s="13">
        <v>0</v>
      </c>
      <c r="F16" s="50">
        <f t="shared" si="0"/>
        <v>2.7</v>
      </c>
      <c r="G16" s="50" t="s">
        <v>67</v>
      </c>
      <c r="H16" s="89"/>
      <c r="I16" s="89"/>
      <c r="J16" s="89"/>
      <c r="K16" s="89"/>
      <c r="L16" s="89"/>
      <c r="M16" s="89"/>
      <c r="N16" s="89"/>
      <c r="O16" s="89"/>
      <c r="P16" s="89"/>
      <c r="Q16" s="89"/>
      <c r="R16" s="89"/>
      <c r="S16" s="89"/>
      <c r="T16" s="89"/>
      <c r="U16" s="89"/>
      <c r="V16" s="89"/>
      <c r="W16" s="89"/>
      <c r="X16" s="89"/>
      <c r="Y16" s="89"/>
      <c r="Z16" s="89"/>
      <c r="AA16" s="89"/>
    </row>
    <row r="17" spans="1:27" ht="28.5" customHeight="1" x14ac:dyDescent="0.25">
      <c r="A17" s="24" t="s">
        <v>529</v>
      </c>
      <c r="B17" s="49"/>
      <c r="C17" s="49"/>
      <c r="D17" s="13">
        <f>12.6+17.6+16.7+20.9</f>
        <v>67.800000000000011</v>
      </c>
      <c r="E17" s="13">
        <f>13.1+17.3+14.1+16.5</f>
        <v>61</v>
      </c>
      <c r="F17" s="50">
        <f t="shared" si="0"/>
        <v>6.8000000000000114</v>
      </c>
      <c r="G17" s="50">
        <f t="shared" ref="G17:G20" si="2">(F17/E17)*100</f>
        <v>11.147540983606575</v>
      </c>
      <c r="H17" s="89"/>
      <c r="I17" s="89"/>
      <c r="J17" s="89"/>
      <c r="K17" s="89"/>
      <c r="L17" s="89"/>
      <c r="M17" s="89"/>
      <c r="N17" s="89"/>
      <c r="O17" s="89"/>
      <c r="P17" s="89"/>
      <c r="Q17" s="89"/>
      <c r="R17" s="89"/>
      <c r="S17" s="89"/>
      <c r="T17" s="89"/>
      <c r="U17" s="89"/>
      <c r="V17" s="89"/>
      <c r="W17" s="89"/>
      <c r="X17" s="89"/>
      <c r="Y17" s="89"/>
      <c r="Z17" s="89"/>
      <c r="AA17" s="89"/>
    </row>
    <row r="18" spans="1:27" ht="28.5" customHeight="1" x14ac:dyDescent="0.25">
      <c r="A18" s="24" t="s">
        <v>530</v>
      </c>
      <c r="B18" s="49"/>
      <c r="C18" s="49"/>
      <c r="D18" s="13">
        <f>2.8+2.9+7.8+7.6</f>
        <v>21.1</v>
      </c>
      <c r="E18" s="13">
        <f>6.9+7.5+8.4+16.9</f>
        <v>39.700000000000003</v>
      </c>
      <c r="F18" s="50">
        <f t="shared" si="0"/>
        <v>-18.600000000000001</v>
      </c>
      <c r="G18" s="50">
        <f t="shared" si="2"/>
        <v>-46.851385390428213</v>
      </c>
      <c r="H18" s="89"/>
      <c r="I18" s="89"/>
      <c r="J18" s="89"/>
      <c r="K18" s="89"/>
      <c r="L18" s="89"/>
      <c r="M18" s="89"/>
      <c r="N18" s="89"/>
      <c r="O18" s="89"/>
      <c r="P18" s="89"/>
      <c r="Q18" s="89"/>
      <c r="R18" s="89"/>
      <c r="S18" s="89"/>
      <c r="T18" s="89"/>
      <c r="U18" s="89"/>
      <c r="V18" s="89"/>
      <c r="W18" s="89"/>
      <c r="X18" s="89"/>
      <c r="Y18" s="89"/>
      <c r="Z18" s="89"/>
      <c r="AA18" s="89"/>
    </row>
    <row r="19" spans="1:27" ht="28.5" customHeight="1" x14ac:dyDescent="0.25">
      <c r="A19" s="30" t="s">
        <v>531</v>
      </c>
      <c r="B19" s="118"/>
      <c r="C19" s="118"/>
      <c r="D19" s="21">
        <f>111.2+130.2+119.9+136.3</f>
        <v>497.59999999999997</v>
      </c>
      <c r="E19" s="21">
        <f>127.6+139+122+161.3</f>
        <v>549.90000000000009</v>
      </c>
      <c r="F19" s="92">
        <f t="shared" si="0"/>
        <v>-52.300000000000125</v>
      </c>
      <c r="G19" s="92">
        <f t="shared" si="2"/>
        <v>-9.5108201491180431</v>
      </c>
      <c r="H19" s="89"/>
      <c r="I19" s="89"/>
      <c r="J19" s="89"/>
      <c r="K19" s="89"/>
      <c r="L19" s="89"/>
      <c r="M19" s="89"/>
      <c r="N19" s="89"/>
      <c r="O19" s="89"/>
      <c r="P19" s="89"/>
      <c r="Q19" s="89"/>
      <c r="R19" s="89"/>
      <c r="S19" s="89"/>
      <c r="T19" s="89"/>
      <c r="U19" s="89"/>
      <c r="V19" s="89"/>
      <c r="W19" s="89"/>
      <c r="X19" s="89"/>
      <c r="Y19" s="89"/>
      <c r="Z19" s="89"/>
      <c r="AA19" s="89"/>
    </row>
    <row r="20" spans="1:27" ht="28.5" customHeight="1" x14ac:dyDescent="0.25">
      <c r="A20" s="30" t="s">
        <v>532</v>
      </c>
      <c r="B20" s="118"/>
      <c r="C20" s="118"/>
      <c r="D20" s="21">
        <f>15.6+14.3+18.7+18.4</f>
        <v>67</v>
      </c>
      <c r="E20" s="21">
        <f>13.4+15.4+18.7+18.8</f>
        <v>66.3</v>
      </c>
      <c r="F20" s="92">
        <f t="shared" si="0"/>
        <v>0.70000000000000284</v>
      </c>
      <c r="G20" s="92">
        <f t="shared" si="2"/>
        <v>1.0558069381598838</v>
      </c>
      <c r="H20" s="89"/>
      <c r="I20" s="89"/>
      <c r="J20" s="89"/>
      <c r="K20" s="89"/>
      <c r="L20" s="89"/>
      <c r="M20" s="89"/>
      <c r="N20" s="89"/>
      <c r="O20" s="89"/>
      <c r="P20" s="89"/>
      <c r="Q20" s="89"/>
      <c r="R20" s="89"/>
      <c r="S20" s="89"/>
      <c r="T20" s="89"/>
      <c r="U20" s="89"/>
      <c r="V20" s="89"/>
      <c r="W20" s="89"/>
      <c r="X20" s="89"/>
      <c r="Y20" s="89"/>
      <c r="Z20" s="89"/>
      <c r="AA20" s="89"/>
    </row>
    <row r="21" spans="1:27" ht="24.75" customHeight="1" x14ac:dyDescent="0.25">
      <c r="A21" s="12" t="s">
        <v>527</v>
      </c>
      <c r="B21" s="24" t="s">
        <v>528</v>
      </c>
      <c r="C21" s="24" t="s">
        <v>49</v>
      </c>
      <c r="D21" s="13">
        <f>3.2+5+6.3+6.7</f>
        <v>21.2</v>
      </c>
      <c r="E21" s="13">
        <v>0</v>
      </c>
      <c r="F21" s="50">
        <f t="shared" si="0"/>
        <v>21.2</v>
      </c>
      <c r="G21" s="50" t="s">
        <v>67</v>
      </c>
      <c r="H21" s="89"/>
      <c r="I21" s="89"/>
      <c r="J21" s="89"/>
      <c r="K21" s="89"/>
      <c r="L21" s="89"/>
      <c r="M21" s="89"/>
      <c r="N21" s="89"/>
      <c r="O21" s="89"/>
      <c r="P21" s="89"/>
      <c r="Q21" s="89"/>
      <c r="R21" s="89"/>
      <c r="S21" s="89"/>
      <c r="T21" s="89"/>
      <c r="U21" s="89"/>
      <c r="V21" s="89"/>
      <c r="W21" s="89"/>
      <c r="X21" s="89"/>
      <c r="Y21" s="89"/>
      <c r="Z21" s="89"/>
      <c r="AA21" s="89"/>
    </row>
    <row r="22" spans="1:27" ht="28.5" customHeight="1" x14ac:dyDescent="0.25">
      <c r="A22" s="12" t="s">
        <v>533</v>
      </c>
      <c r="B22" s="12" t="s">
        <v>533</v>
      </c>
      <c r="C22" s="49" t="s">
        <v>129</v>
      </c>
      <c r="D22" s="13">
        <f>2.1+3.7+1.8+1.7</f>
        <v>9.3000000000000007</v>
      </c>
      <c r="E22" s="13">
        <f>2.8+3.1+2.4+2.2</f>
        <v>10.5</v>
      </c>
      <c r="F22" s="50">
        <f t="shared" si="0"/>
        <v>-1.1999999999999993</v>
      </c>
      <c r="G22" s="50">
        <f t="shared" ref="G22:G34" si="3">(F22/E22)*100</f>
        <v>-11.428571428571422</v>
      </c>
      <c r="H22" s="89"/>
      <c r="I22" s="89"/>
      <c r="J22" s="89"/>
      <c r="K22" s="89"/>
      <c r="L22" s="89"/>
      <c r="M22" s="89"/>
      <c r="N22" s="89"/>
      <c r="O22" s="89"/>
      <c r="P22" s="89"/>
      <c r="Q22" s="89"/>
      <c r="R22" s="89"/>
      <c r="S22" s="89"/>
      <c r="T22" s="89"/>
      <c r="U22" s="89"/>
      <c r="V22" s="89"/>
      <c r="W22" s="89"/>
      <c r="X22" s="89"/>
      <c r="Y22" s="89"/>
      <c r="Z22" s="89"/>
      <c r="AA22" s="89"/>
    </row>
    <row r="23" spans="1:27" ht="28.5" customHeight="1" x14ac:dyDescent="0.25">
      <c r="A23" s="49" t="s">
        <v>534</v>
      </c>
      <c r="B23" s="49" t="s">
        <v>535</v>
      </c>
      <c r="C23" s="49" t="s">
        <v>113</v>
      </c>
      <c r="D23" s="50">
        <f>0.5+0.6+1.6+1.7</f>
        <v>4.4000000000000004</v>
      </c>
      <c r="E23" s="50">
        <f>2.4+2.6+2.2+3.8</f>
        <v>11</v>
      </c>
      <c r="F23" s="50">
        <f t="shared" si="0"/>
        <v>-6.6</v>
      </c>
      <c r="G23" s="50">
        <f t="shared" si="3"/>
        <v>-60</v>
      </c>
      <c r="H23" s="89"/>
      <c r="I23" s="89"/>
      <c r="J23" s="89"/>
      <c r="K23" s="89"/>
      <c r="L23" s="89"/>
      <c r="M23" s="89"/>
      <c r="N23" s="89"/>
      <c r="O23" s="89"/>
      <c r="P23" s="89"/>
      <c r="Q23" s="89"/>
      <c r="R23" s="89"/>
      <c r="S23" s="89"/>
      <c r="T23" s="89"/>
      <c r="U23" s="89"/>
      <c r="V23" s="89"/>
      <c r="W23" s="89"/>
      <c r="X23" s="89"/>
      <c r="Y23" s="89"/>
      <c r="Z23" s="89"/>
      <c r="AA23" s="89"/>
    </row>
    <row r="24" spans="1:27" ht="28.5" customHeight="1" x14ac:dyDescent="0.25">
      <c r="A24" s="12" t="s">
        <v>536</v>
      </c>
      <c r="B24" s="119" t="s">
        <v>522</v>
      </c>
      <c r="C24" s="49" t="s">
        <v>129</v>
      </c>
      <c r="D24" s="13">
        <f>0.1+0.1+0.1</f>
        <v>0.30000000000000004</v>
      </c>
      <c r="E24" s="120">
        <f>0.1+0.3+0.1</f>
        <v>0.5</v>
      </c>
      <c r="F24" s="50">
        <f t="shared" si="0"/>
        <v>-0.19999999999999996</v>
      </c>
      <c r="G24" s="50">
        <f t="shared" si="3"/>
        <v>-39.999999999999993</v>
      </c>
      <c r="H24" s="89"/>
      <c r="I24" s="89"/>
      <c r="J24" s="89"/>
      <c r="K24" s="89"/>
      <c r="L24" s="89"/>
      <c r="M24" s="89"/>
      <c r="N24" s="89"/>
      <c r="O24" s="89"/>
      <c r="P24" s="89"/>
      <c r="Q24" s="89"/>
      <c r="R24" s="89"/>
      <c r="S24" s="89"/>
      <c r="T24" s="89"/>
      <c r="U24" s="89"/>
      <c r="V24" s="89"/>
      <c r="W24" s="89"/>
      <c r="X24" s="89"/>
      <c r="Y24" s="89"/>
      <c r="Z24" s="89"/>
      <c r="AA24" s="89"/>
    </row>
    <row r="25" spans="1:27" ht="28.5" customHeight="1" x14ac:dyDescent="0.25">
      <c r="A25" s="49" t="s">
        <v>537</v>
      </c>
      <c r="B25" s="49" t="s">
        <v>504</v>
      </c>
      <c r="C25" s="49" t="s">
        <v>113</v>
      </c>
      <c r="D25" s="50">
        <f>0.7+0.6+1.1+0.7</f>
        <v>3.0999999999999996</v>
      </c>
      <c r="E25" s="50">
        <f>0.7+0.6+0.6+0.8</f>
        <v>2.7</v>
      </c>
      <c r="F25" s="50">
        <f t="shared" si="0"/>
        <v>0.39999999999999947</v>
      </c>
      <c r="G25" s="50">
        <f t="shared" si="3"/>
        <v>14.814814814814795</v>
      </c>
      <c r="H25" s="89"/>
      <c r="I25" s="89"/>
      <c r="J25" s="89"/>
      <c r="K25" s="89"/>
      <c r="L25" s="89"/>
      <c r="M25" s="89"/>
      <c r="N25" s="89"/>
      <c r="O25" s="89"/>
      <c r="P25" s="89"/>
      <c r="Q25" s="89"/>
      <c r="R25" s="89"/>
      <c r="S25" s="89"/>
      <c r="T25" s="89"/>
      <c r="U25" s="89"/>
      <c r="V25" s="89"/>
      <c r="W25" s="89"/>
      <c r="X25" s="89"/>
      <c r="Y25" s="89"/>
      <c r="Z25" s="89"/>
      <c r="AA25" s="89"/>
    </row>
    <row r="26" spans="1:27" ht="28.5" customHeight="1" x14ac:dyDescent="0.25">
      <c r="A26" s="20" t="s">
        <v>538</v>
      </c>
      <c r="B26" s="20"/>
      <c r="C26" s="118"/>
      <c r="D26" s="21">
        <f>8.3+11.6+12+11.8</f>
        <v>43.7</v>
      </c>
      <c r="E26" s="21">
        <f>7.7+7.8+7.1+8.9</f>
        <v>31.5</v>
      </c>
      <c r="F26" s="92">
        <f t="shared" si="0"/>
        <v>12.200000000000003</v>
      </c>
      <c r="G26" s="92">
        <f t="shared" si="3"/>
        <v>38.730158730158735</v>
      </c>
      <c r="H26" s="89"/>
      <c r="I26" s="89"/>
      <c r="J26" s="89"/>
      <c r="K26" s="89"/>
      <c r="L26" s="89"/>
      <c r="M26" s="89"/>
      <c r="N26" s="89"/>
      <c r="O26" s="89"/>
      <c r="P26" s="89"/>
      <c r="Q26" s="89"/>
      <c r="R26" s="89"/>
      <c r="S26" s="89"/>
      <c r="T26" s="89"/>
      <c r="U26" s="89"/>
      <c r="V26" s="89"/>
      <c r="W26" s="89"/>
      <c r="X26" s="89"/>
      <c r="Y26" s="89"/>
      <c r="Z26" s="89"/>
      <c r="AA26" s="89"/>
    </row>
    <row r="27" spans="1:27" ht="28.5" customHeight="1" x14ac:dyDescent="0.25">
      <c r="A27" s="49" t="s">
        <v>539</v>
      </c>
      <c r="B27" s="49" t="s">
        <v>540</v>
      </c>
      <c r="C27" s="49" t="s">
        <v>113</v>
      </c>
      <c r="D27" s="50">
        <f>12.5+9.4+11.5+11.3</f>
        <v>44.7</v>
      </c>
      <c r="E27" s="50">
        <f>10.5+13.7+12.3+13.3</f>
        <v>49.8</v>
      </c>
      <c r="F27" s="50">
        <f t="shared" si="0"/>
        <v>-5.0999999999999943</v>
      </c>
      <c r="G27" s="50">
        <f t="shared" si="3"/>
        <v>-10.240963855421676</v>
      </c>
      <c r="H27" s="89"/>
      <c r="I27" s="89"/>
      <c r="J27" s="89"/>
      <c r="K27" s="89"/>
      <c r="L27" s="89"/>
      <c r="M27" s="89"/>
      <c r="N27" s="89"/>
      <c r="O27" s="89"/>
      <c r="P27" s="89"/>
      <c r="Q27" s="89"/>
      <c r="R27" s="89"/>
      <c r="S27" s="89"/>
      <c r="T27" s="89"/>
      <c r="U27" s="89"/>
      <c r="V27" s="89"/>
      <c r="W27" s="89"/>
      <c r="X27" s="89"/>
      <c r="Y27" s="89"/>
      <c r="Z27" s="89"/>
      <c r="AA27" s="89"/>
    </row>
    <row r="28" spans="1:27" ht="28.5" customHeight="1" x14ac:dyDescent="0.25">
      <c r="A28" s="49" t="s">
        <v>541</v>
      </c>
      <c r="B28" s="49" t="s">
        <v>542</v>
      </c>
      <c r="C28" s="49" t="s">
        <v>113</v>
      </c>
      <c r="D28" s="50">
        <f>7.7+6.9+7.7+7.5</f>
        <v>29.8</v>
      </c>
      <c r="E28" s="50">
        <f>4.8+9.3+7.1+6.9</f>
        <v>28.1</v>
      </c>
      <c r="F28" s="50">
        <f t="shared" si="0"/>
        <v>1.6999999999999993</v>
      </c>
      <c r="G28" s="50">
        <f t="shared" si="3"/>
        <v>6.0498220640569365</v>
      </c>
      <c r="H28" s="89"/>
      <c r="I28" s="89"/>
      <c r="J28" s="89"/>
      <c r="K28" s="89"/>
      <c r="L28" s="89"/>
      <c r="M28" s="89"/>
      <c r="N28" s="89"/>
      <c r="O28" s="89"/>
      <c r="P28" s="89"/>
      <c r="Q28" s="89"/>
      <c r="R28" s="89"/>
      <c r="S28" s="89"/>
      <c r="T28" s="89"/>
      <c r="U28" s="89"/>
      <c r="V28" s="89"/>
      <c r="W28" s="89"/>
      <c r="X28" s="89"/>
      <c r="Y28" s="89"/>
      <c r="Z28" s="89"/>
      <c r="AA28" s="89"/>
    </row>
    <row r="29" spans="1:27" ht="28.5" customHeight="1" x14ac:dyDescent="0.25">
      <c r="A29" s="20" t="s">
        <v>543</v>
      </c>
      <c r="B29" s="20"/>
      <c r="C29" s="118"/>
      <c r="D29" s="21">
        <f>31+26.5+32.5+32.1</f>
        <v>122.1</v>
      </c>
      <c r="E29" s="21">
        <f>27.6+36+32.4+31.4</f>
        <v>127.4</v>
      </c>
      <c r="F29" s="92">
        <f t="shared" si="0"/>
        <v>-5.3000000000000114</v>
      </c>
      <c r="G29" s="92">
        <f t="shared" si="3"/>
        <v>-4.1601255886970261</v>
      </c>
      <c r="H29" s="117"/>
      <c r="I29" s="117"/>
      <c r="J29" s="117"/>
      <c r="K29" s="117"/>
      <c r="L29" s="117"/>
      <c r="M29" s="117"/>
      <c r="N29" s="117"/>
      <c r="O29" s="117"/>
      <c r="P29" s="117"/>
      <c r="Q29" s="117"/>
      <c r="R29" s="117"/>
      <c r="S29" s="117"/>
      <c r="T29" s="117"/>
      <c r="U29" s="117"/>
      <c r="V29" s="117"/>
      <c r="W29" s="117"/>
      <c r="X29" s="117"/>
      <c r="Y29" s="117"/>
      <c r="Z29" s="117"/>
      <c r="AA29" s="117"/>
    </row>
    <row r="30" spans="1:27" ht="28.5" customHeight="1" x14ac:dyDescent="0.25">
      <c r="A30" s="12" t="s">
        <v>503</v>
      </c>
      <c r="B30" s="119" t="s">
        <v>504</v>
      </c>
      <c r="C30" s="121" t="s">
        <v>113</v>
      </c>
      <c r="D30" s="13">
        <f>17.8+16.4+18.6+21</f>
        <v>73.800000000000011</v>
      </c>
      <c r="E30" s="13">
        <f>12.4+13.5+14+16.4</f>
        <v>56.3</v>
      </c>
      <c r="F30" s="50">
        <f t="shared" si="0"/>
        <v>17.500000000000014</v>
      </c>
      <c r="G30" s="50">
        <f t="shared" si="3"/>
        <v>31.083481349911217</v>
      </c>
      <c r="H30" s="89"/>
      <c r="I30" s="89"/>
      <c r="J30" s="89"/>
      <c r="K30" s="89"/>
      <c r="L30" s="89"/>
      <c r="M30" s="89"/>
      <c r="N30" s="89"/>
      <c r="O30" s="89"/>
      <c r="P30" s="89"/>
      <c r="Q30" s="89"/>
      <c r="R30" s="89"/>
      <c r="S30" s="89"/>
      <c r="T30" s="89"/>
      <c r="U30" s="89"/>
      <c r="V30" s="89"/>
      <c r="W30" s="89"/>
      <c r="X30" s="89"/>
      <c r="Y30" s="89"/>
      <c r="Z30" s="89"/>
      <c r="AA30" s="89"/>
    </row>
    <row r="31" spans="1:27" ht="28.5" customHeight="1" x14ac:dyDescent="0.25">
      <c r="A31" s="12" t="s">
        <v>533</v>
      </c>
      <c r="B31" s="12" t="s">
        <v>533</v>
      </c>
      <c r="C31" s="49" t="s">
        <v>129</v>
      </c>
      <c r="D31" s="50">
        <f>7.7+5.2+5.8+5.2</f>
        <v>23.9</v>
      </c>
      <c r="E31" s="13">
        <f>6.4+6.4+4.8+5.8</f>
        <v>23.400000000000002</v>
      </c>
      <c r="F31" s="50">
        <f t="shared" si="0"/>
        <v>0.49999999999999645</v>
      </c>
      <c r="G31" s="50">
        <f t="shared" si="3"/>
        <v>2.1367521367521216</v>
      </c>
      <c r="H31" s="122"/>
      <c r="I31" s="122"/>
      <c r="J31" s="122"/>
      <c r="K31" s="122"/>
      <c r="L31" s="122"/>
      <c r="M31" s="122"/>
      <c r="N31" s="122"/>
      <c r="O31" s="122"/>
      <c r="P31" s="122"/>
      <c r="Q31" s="122"/>
      <c r="R31" s="122"/>
      <c r="S31" s="122"/>
      <c r="T31" s="122"/>
      <c r="U31" s="122"/>
      <c r="V31" s="122"/>
      <c r="W31" s="122"/>
      <c r="X31" s="122"/>
      <c r="Y31" s="122"/>
      <c r="Z31" s="122"/>
      <c r="AA31" s="122"/>
    </row>
    <row r="32" spans="1:27" ht="28.5" customHeight="1" x14ac:dyDescent="0.25">
      <c r="A32" s="12" t="s">
        <v>536</v>
      </c>
      <c r="B32" s="119" t="s">
        <v>522</v>
      </c>
      <c r="C32" s="49" t="s">
        <v>129</v>
      </c>
      <c r="D32" s="50">
        <f>0.6+0.3+0.4+0.4</f>
        <v>1.6999999999999997</v>
      </c>
      <c r="E32" s="13">
        <f>1.1+0.8+0.6+0.6</f>
        <v>3.1</v>
      </c>
      <c r="F32" s="50">
        <f t="shared" si="0"/>
        <v>-1.4000000000000004</v>
      </c>
      <c r="G32" s="50">
        <f t="shared" si="3"/>
        <v>-45.161290322580655</v>
      </c>
      <c r="H32" s="122"/>
      <c r="I32" s="122"/>
      <c r="J32" s="122"/>
      <c r="K32" s="122"/>
      <c r="L32" s="122"/>
      <c r="M32" s="122"/>
      <c r="N32" s="122"/>
      <c r="O32" s="122"/>
      <c r="P32" s="122"/>
      <c r="Q32" s="122"/>
      <c r="R32" s="122"/>
      <c r="S32" s="122"/>
      <c r="T32" s="122"/>
      <c r="U32" s="122"/>
      <c r="V32" s="122"/>
      <c r="W32" s="122"/>
      <c r="X32" s="122"/>
      <c r="Y32" s="122"/>
      <c r="Z32" s="122"/>
      <c r="AA32" s="122"/>
    </row>
    <row r="33" spans="1:27" ht="28.5" customHeight="1" x14ac:dyDescent="0.25">
      <c r="A33" s="118" t="s">
        <v>544</v>
      </c>
      <c r="B33" s="118"/>
      <c r="C33" s="118"/>
      <c r="D33" s="92">
        <f>27.8+27.7+26.6+28.6</f>
        <v>110.69999999999999</v>
      </c>
      <c r="E33" s="92">
        <f>22.6+22.1+21.1+24.5</f>
        <v>90.300000000000011</v>
      </c>
      <c r="F33" s="92">
        <f t="shared" si="0"/>
        <v>20.399999999999977</v>
      </c>
      <c r="G33" s="92">
        <f t="shared" si="3"/>
        <v>22.591362126245819</v>
      </c>
      <c r="H33" s="89"/>
      <c r="I33" s="89"/>
      <c r="J33" s="89"/>
      <c r="K33" s="89"/>
      <c r="L33" s="89"/>
      <c r="M33" s="89"/>
      <c r="N33" s="89"/>
      <c r="O33" s="89"/>
      <c r="P33" s="89"/>
      <c r="Q33" s="89"/>
      <c r="R33" s="89"/>
      <c r="S33" s="89"/>
      <c r="T33" s="89"/>
      <c r="U33" s="89"/>
      <c r="V33" s="89"/>
      <c r="W33" s="89"/>
      <c r="X33" s="89"/>
      <c r="Y33" s="89"/>
      <c r="Z33" s="89"/>
      <c r="AA33" s="89"/>
    </row>
    <row r="34" spans="1:27" ht="28.5" customHeight="1" x14ac:dyDescent="0.25">
      <c r="A34" s="118" t="s">
        <v>101</v>
      </c>
      <c r="B34" s="118"/>
      <c r="C34" s="118"/>
      <c r="D34" s="92">
        <f>224.8+236.9+243.2+258.6</f>
        <v>963.50000000000011</v>
      </c>
      <c r="E34" s="92">
        <f>226.6+249.2+230.3+277.5</f>
        <v>983.59999999999991</v>
      </c>
      <c r="F34" s="92">
        <f t="shared" si="0"/>
        <v>-20.099999999999795</v>
      </c>
      <c r="G34" s="92">
        <f t="shared" si="3"/>
        <v>-2.0435136234241353</v>
      </c>
      <c r="H34" s="89"/>
      <c r="I34" s="89"/>
      <c r="J34" s="89"/>
      <c r="K34" s="89"/>
      <c r="L34" s="89"/>
      <c r="M34" s="89"/>
      <c r="N34" s="89"/>
      <c r="O34" s="89"/>
      <c r="P34" s="89"/>
      <c r="Q34" s="89"/>
      <c r="R34" s="89"/>
      <c r="S34" s="89"/>
      <c r="T34" s="89"/>
      <c r="U34" s="89"/>
      <c r="V34" s="89"/>
      <c r="W34" s="89"/>
      <c r="X34" s="89"/>
      <c r="Y34" s="89"/>
      <c r="Z34" s="89"/>
      <c r="AA34" s="89"/>
    </row>
  </sheetData>
  <pageMargins left="0.7" right="0.7" top="0.75" bottom="0.75" header="0" footer="0"/>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2A5DB0"/>
  </sheetPr>
  <dimension ref="A1:Z18"/>
  <sheetViews>
    <sheetView workbookViewId="0">
      <pane ySplit="1" topLeftCell="A2" activePane="bottomLeft" state="frozen"/>
      <selection pane="bottomLeft"/>
    </sheetView>
  </sheetViews>
  <sheetFormatPr defaultColWidth="14.44140625" defaultRowHeight="15.75" customHeight="1" x14ac:dyDescent="0.25"/>
  <cols>
    <col min="1" max="1" width="34.6640625" customWidth="1"/>
    <col min="2" max="2" width="26.5546875" customWidth="1"/>
    <col min="3" max="3" width="31.44140625" customWidth="1"/>
    <col min="4" max="5" width="17.33203125" customWidth="1"/>
    <col min="6" max="6" width="16.88671875" customWidth="1"/>
    <col min="7" max="7" width="12.6640625" customWidth="1"/>
    <col min="8" max="26" width="8.6640625" customWidth="1"/>
  </cols>
  <sheetData>
    <row r="1" spans="1:26" ht="31.5" customHeight="1" x14ac:dyDescent="0.3">
      <c r="A1" s="123" t="s">
        <v>1730</v>
      </c>
      <c r="B1" s="124" t="s">
        <v>10</v>
      </c>
      <c r="C1" s="124" t="s">
        <v>11</v>
      </c>
      <c r="D1" s="38" t="s">
        <v>1687</v>
      </c>
      <c r="E1" s="124" t="s">
        <v>1688</v>
      </c>
      <c r="F1" s="124" t="s">
        <v>1682</v>
      </c>
      <c r="G1" s="124" t="s">
        <v>1683</v>
      </c>
      <c r="H1" s="125"/>
      <c r="I1" s="125"/>
      <c r="J1" s="125"/>
      <c r="K1" s="125"/>
      <c r="L1" s="125"/>
      <c r="M1" s="125"/>
      <c r="N1" s="125"/>
      <c r="O1" s="125"/>
      <c r="P1" s="125"/>
      <c r="Q1" s="125"/>
      <c r="R1" s="125"/>
      <c r="S1" s="125"/>
      <c r="T1" s="125"/>
      <c r="U1" s="125"/>
      <c r="V1" s="125"/>
      <c r="W1" s="125"/>
      <c r="X1" s="125"/>
      <c r="Y1" s="125"/>
      <c r="Z1" s="125"/>
    </row>
    <row r="2" spans="1:26" ht="28.5" customHeight="1" x14ac:dyDescent="0.3">
      <c r="A2" s="11" t="s">
        <v>1731</v>
      </c>
      <c r="B2" s="11" t="s">
        <v>1732</v>
      </c>
      <c r="C2" s="11" t="s">
        <v>201</v>
      </c>
      <c r="D2" s="51">
        <v>40.6</v>
      </c>
      <c r="E2" s="51">
        <v>7.8</v>
      </c>
      <c r="F2" s="51">
        <f t="shared" ref="F2:F18" si="0">D2-E2</f>
        <v>32.800000000000004</v>
      </c>
      <c r="G2" s="51">
        <f t="shared" ref="G2:G18" si="1">(F2/E2)*100</f>
        <v>420.51282051282061</v>
      </c>
      <c r="H2" s="126"/>
      <c r="I2" s="87"/>
      <c r="J2" s="87"/>
      <c r="K2" s="87"/>
      <c r="L2" s="87"/>
      <c r="M2" s="87"/>
      <c r="N2" s="87"/>
      <c r="O2" s="87"/>
      <c r="P2" s="87"/>
      <c r="Q2" s="87"/>
      <c r="R2" s="87"/>
      <c r="S2" s="87"/>
      <c r="T2" s="87"/>
      <c r="U2" s="87"/>
      <c r="V2" s="87"/>
      <c r="W2" s="87"/>
      <c r="X2" s="87"/>
      <c r="Y2" s="87"/>
      <c r="Z2" s="87"/>
    </row>
    <row r="3" spans="1:26" ht="28.5" customHeight="1" x14ac:dyDescent="0.3">
      <c r="A3" s="11" t="s">
        <v>546</v>
      </c>
      <c r="B3" s="11" t="s">
        <v>547</v>
      </c>
      <c r="C3" s="11" t="s">
        <v>201</v>
      </c>
      <c r="D3" s="51">
        <v>33</v>
      </c>
      <c r="E3" s="51">
        <v>28.6</v>
      </c>
      <c r="F3" s="51">
        <f t="shared" si="0"/>
        <v>4.3999999999999986</v>
      </c>
      <c r="G3" s="51">
        <f t="shared" si="1"/>
        <v>15.38461538461538</v>
      </c>
      <c r="H3" s="126"/>
      <c r="I3" s="87"/>
      <c r="J3" s="87"/>
      <c r="K3" s="87"/>
      <c r="L3" s="87"/>
      <c r="M3" s="87"/>
      <c r="N3" s="87"/>
      <c r="O3" s="87"/>
      <c r="P3" s="87"/>
      <c r="Q3" s="87"/>
      <c r="R3" s="87"/>
      <c r="S3" s="87"/>
      <c r="T3" s="87"/>
      <c r="U3" s="87"/>
      <c r="V3" s="87"/>
      <c r="W3" s="87"/>
      <c r="X3" s="87"/>
      <c r="Y3" s="87"/>
      <c r="Z3" s="87"/>
    </row>
    <row r="4" spans="1:26" ht="28.5" customHeight="1" x14ac:dyDescent="0.3">
      <c r="A4" s="11" t="s">
        <v>548</v>
      </c>
      <c r="B4" s="11" t="s">
        <v>549</v>
      </c>
      <c r="C4" s="11" t="s">
        <v>62</v>
      </c>
      <c r="D4" s="51">
        <v>16.299999999999997</v>
      </c>
      <c r="E4" s="51">
        <v>16.100000000000001</v>
      </c>
      <c r="F4" s="127">
        <f t="shared" si="0"/>
        <v>0.19999999999999574</v>
      </c>
      <c r="G4" s="51">
        <f t="shared" si="1"/>
        <v>1.242236024844694</v>
      </c>
      <c r="H4" s="126"/>
      <c r="I4" s="87"/>
      <c r="J4" s="87"/>
      <c r="K4" s="87"/>
      <c r="L4" s="87"/>
      <c r="M4" s="87"/>
      <c r="N4" s="87"/>
      <c r="O4" s="87"/>
      <c r="P4" s="87"/>
      <c r="Q4" s="87"/>
      <c r="R4" s="87"/>
      <c r="S4" s="87"/>
      <c r="T4" s="87"/>
      <c r="U4" s="87"/>
      <c r="V4" s="87"/>
      <c r="W4" s="87"/>
      <c r="X4" s="87"/>
      <c r="Y4" s="87"/>
      <c r="Z4" s="87"/>
    </row>
    <row r="5" spans="1:26" ht="28.5" customHeight="1" x14ac:dyDescent="0.3">
      <c r="A5" s="11" t="s">
        <v>550</v>
      </c>
      <c r="B5" s="11" t="s">
        <v>551</v>
      </c>
      <c r="C5" s="11" t="s">
        <v>258</v>
      </c>
      <c r="D5" s="51">
        <v>13.6</v>
      </c>
      <c r="E5" s="51">
        <v>13.100000000000001</v>
      </c>
      <c r="F5" s="127">
        <f t="shared" si="0"/>
        <v>0.49999999999999822</v>
      </c>
      <c r="G5" s="51">
        <f t="shared" si="1"/>
        <v>3.8167938931297574</v>
      </c>
      <c r="H5" s="126"/>
      <c r="I5" s="87"/>
      <c r="J5" s="87"/>
      <c r="K5" s="87"/>
      <c r="L5" s="87"/>
      <c r="M5" s="87"/>
      <c r="N5" s="87"/>
      <c r="O5" s="87"/>
      <c r="P5" s="87"/>
      <c r="Q5" s="87"/>
      <c r="R5" s="87"/>
      <c r="S5" s="87"/>
      <c r="T5" s="87"/>
      <c r="U5" s="87"/>
      <c r="V5" s="87"/>
      <c r="W5" s="87"/>
      <c r="X5" s="87"/>
      <c r="Y5" s="87"/>
      <c r="Z5" s="87"/>
    </row>
    <row r="6" spans="1:26" ht="28.5" customHeight="1" x14ac:dyDescent="0.3">
      <c r="A6" s="11" t="s">
        <v>552</v>
      </c>
      <c r="B6" s="11" t="s">
        <v>553</v>
      </c>
      <c r="C6" s="11" t="s">
        <v>201</v>
      </c>
      <c r="D6" s="51">
        <v>9.3999999999999986</v>
      </c>
      <c r="E6" s="51">
        <v>9.6999999999999993</v>
      </c>
      <c r="F6" s="127">
        <f t="shared" si="0"/>
        <v>-0.30000000000000071</v>
      </c>
      <c r="G6" s="51">
        <f t="shared" si="1"/>
        <v>-3.0927835051546464</v>
      </c>
      <c r="H6" s="126"/>
      <c r="I6" s="87"/>
      <c r="J6" s="87"/>
      <c r="K6" s="87"/>
      <c r="L6" s="87"/>
      <c r="M6" s="87"/>
      <c r="N6" s="87"/>
      <c r="O6" s="87"/>
      <c r="P6" s="87"/>
      <c r="Q6" s="87"/>
      <c r="R6" s="87"/>
      <c r="S6" s="87"/>
      <c r="T6" s="87"/>
      <c r="U6" s="87"/>
      <c r="V6" s="87"/>
      <c r="W6" s="87"/>
      <c r="X6" s="87"/>
      <c r="Y6" s="87"/>
      <c r="Z6" s="87"/>
    </row>
    <row r="7" spans="1:26" ht="28.5" customHeight="1" x14ac:dyDescent="0.3">
      <c r="A7" s="11" t="s">
        <v>290</v>
      </c>
      <c r="B7" s="11" t="s">
        <v>291</v>
      </c>
      <c r="C7" s="32" t="s">
        <v>89</v>
      </c>
      <c r="D7" s="51">
        <v>3.7</v>
      </c>
      <c r="E7" s="51">
        <v>4.1999999999999993</v>
      </c>
      <c r="F7" s="127">
        <f t="shared" si="0"/>
        <v>-0.49999999999999911</v>
      </c>
      <c r="G7" s="51">
        <f t="shared" si="1"/>
        <v>-11.904761904761886</v>
      </c>
      <c r="H7" s="126"/>
      <c r="I7" s="87"/>
      <c r="J7" s="87"/>
      <c r="K7" s="87"/>
      <c r="L7" s="87"/>
      <c r="M7" s="87"/>
      <c r="N7" s="87"/>
      <c r="O7" s="87"/>
      <c r="P7" s="87"/>
      <c r="Q7" s="87"/>
      <c r="R7" s="87"/>
      <c r="S7" s="87"/>
      <c r="T7" s="87"/>
      <c r="U7" s="87"/>
      <c r="V7" s="87"/>
      <c r="W7" s="87"/>
      <c r="X7" s="87"/>
      <c r="Y7" s="87"/>
      <c r="Z7" s="87"/>
    </row>
    <row r="8" spans="1:26" ht="28.5" customHeight="1" x14ac:dyDescent="0.3">
      <c r="A8" s="11" t="s">
        <v>554</v>
      </c>
      <c r="B8" s="11" t="s">
        <v>555</v>
      </c>
      <c r="C8" s="11" t="s">
        <v>62</v>
      </c>
      <c r="D8" s="51">
        <v>209.5</v>
      </c>
      <c r="E8" s="51">
        <v>187</v>
      </c>
      <c r="F8" s="51">
        <f t="shared" si="0"/>
        <v>22.5</v>
      </c>
      <c r="G8" s="51">
        <f t="shared" si="1"/>
        <v>12.032085561497325</v>
      </c>
      <c r="H8" s="126"/>
      <c r="I8" s="87"/>
      <c r="J8" s="87"/>
      <c r="K8" s="87"/>
      <c r="L8" s="87"/>
      <c r="M8" s="87"/>
      <c r="N8" s="87"/>
      <c r="O8" s="87"/>
      <c r="P8" s="87"/>
      <c r="Q8" s="87"/>
      <c r="R8" s="87"/>
      <c r="S8" s="87"/>
      <c r="T8" s="87"/>
      <c r="U8" s="87"/>
      <c r="V8" s="87"/>
      <c r="W8" s="87"/>
      <c r="X8" s="87"/>
      <c r="Y8" s="87"/>
      <c r="Z8" s="87"/>
    </row>
    <row r="9" spans="1:26" ht="28.5" customHeight="1" x14ac:dyDescent="0.3">
      <c r="A9" s="11" t="s">
        <v>556</v>
      </c>
      <c r="B9" s="11" t="s">
        <v>557</v>
      </c>
      <c r="C9" s="11" t="s">
        <v>62</v>
      </c>
      <c r="D9" s="51">
        <v>1.4999999999999996</v>
      </c>
      <c r="E9" s="51">
        <v>7.8</v>
      </c>
      <c r="F9" s="51">
        <f t="shared" si="0"/>
        <v>-6.3000000000000007</v>
      </c>
      <c r="G9" s="51">
        <f t="shared" si="1"/>
        <v>-80.769230769230788</v>
      </c>
      <c r="H9" s="126"/>
      <c r="I9" s="87"/>
      <c r="J9" s="87"/>
      <c r="K9" s="87"/>
      <c r="L9" s="87"/>
      <c r="M9" s="87"/>
      <c r="N9" s="87"/>
      <c r="O9" s="87"/>
      <c r="P9" s="87"/>
      <c r="Q9" s="87"/>
      <c r="R9" s="87"/>
      <c r="S9" s="87"/>
      <c r="T9" s="87"/>
      <c r="U9" s="87"/>
      <c r="V9" s="87"/>
      <c r="W9" s="87"/>
      <c r="X9" s="87"/>
      <c r="Y9" s="87"/>
      <c r="Z9" s="87"/>
    </row>
    <row r="10" spans="1:26" ht="28.5" customHeight="1" x14ac:dyDescent="0.3">
      <c r="A10" s="11" t="s">
        <v>558</v>
      </c>
      <c r="B10" s="11" t="s">
        <v>559</v>
      </c>
      <c r="C10" s="11" t="s">
        <v>129</v>
      </c>
      <c r="D10" s="51">
        <v>6.6999999999999993</v>
      </c>
      <c r="E10" s="51">
        <v>7.8999999999999995</v>
      </c>
      <c r="F10" s="51">
        <f t="shared" si="0"/>
        <v>-1.2000000000000002</v>
      </c>
      <c r="G10" s="51">
        <f t="shared" si="1"/>
        <v>-15.189873417721522</v>
      </c>
      <c r="H10" s="126"/>
      <c r="I10" s="87"/>
      <c r="J10" s="87"/>
      <c r="K10" s="87"/>
      <c r="L10" s="87"/>
      <c r="M10" s="87"/>
      <c r="N10" s="87"/>
      <c r="O10" s="87"/>
      <c r="P10" s="87"/>
      <c r="Q10" s="87"/>
      <c r="R10" s="87"/>
      <c r="S10" s="87"/>
      <c r="T10" s="87"/>
      <c r="U10" s="87"/>
      <c r="V10" s="87"/>
      <c r="W10" s="87"/>
      <c r="X10" s="87"/>
      <c r="Y10" s="87"/>
      <c r="Z10" s="87"/>
    </row>
    <row r="11" spans="1:26" ht="28.5" customHeight="1" x14ac:dyDescent="0.3">
      <c r="A11" s="11" t="s">
        <v>560</v>
      </c>
      <c r="B11" s="11" t="s">
        <v>561</v>
      </c>
      <c r="C11" s="11" t="s">
        <v>201</v>
      </c>
      <c r="D11" s="51">
        <v>5.2</v>
      </c>
      <c r="E11" s="51">
        <v>6.7</v>
      </c>
      <c r="F11" s="51">
        <f t="shared" si="0"/>
        <v>-1.5</v>
      </c>
      <c r="G11" s="51">
        <f t="shared" si="1"/>
        <v>-22.388059701492537</v>
      </c>
      <c r="H11" s="126"/>
      <c r="I11" s="87"/>
      <c r="J11" s="87"/>
      <c r="K11" s="87"/>
      <c r="L11" s="87"/>
      <c r="M11" s="87"/>
      <c r="N11" s="87"/>
      <c r="O11" s="87"/>
      <c r="P11" s="87"/>
      <c r="Q11" s="87"/>
      <c r="R11" s="87"/>
      <c r="S11" s="87"/>
      <c r="T11" s="87"/>
      <c r="U11" s="87"/>
      <c r="V11" s="87"/>
      <c r="W11" s="87"/>
      <c r="X11" s="87"/>
      <c r="Y11" s="87"/>
      <c r="Z11" s="87"/>
    </row>
    <row r="12" spans="1:26" ht="28.5" customHeight="1" x14ac:dyDescent="0.3">
      <c r="A12" s="11" t="s">
        <v>562</v>
      </c>
      <c r="B12" s="11"/>
      <c r="C12" s="11"/>
      <c r="D12" s="51">
        <v>7.5000000000000009</v>
      </c>
      <c r="E12" s="51">
        <v>11.3</v>
      </c>
      <c r="F12" s="51">
        <f t="shared" si="0"/>
        <v>-3.8</v>
      </c>
      <c r="G12" s="51">
        <f t="shared" si="1"/>
        <v>-33.62831858407079</v>
      </c>
      <c r="H12" s="126"/>
      <c r="I12" s="87"/>
      <c r="J12" s="87"/>
      <c r="K12" s="87"/>
      <c r="L12" s="87"/>
      <c r="M12" s="87"/>
      <c r="N12" s="87"/>
      <c r="O12" s="87"/>
      <c r="P12" s="87"/>
      <c r="Q12" s="87"/>
      <c r="R12" s="87"/>
      <c r="S12" s="87"/>
      <c r="T12" s="87"/>
      <c r="U12" s="87"/>
      <c r="V12" s="87"/>
      <c r="W12" s="87"/>
      <c r="X12" s="87"/>
      <c r="Y12" s="87"/>
      <c r="Z12" s="87"/>
    </row>
    <row r="13" spans="1:26" ht="28.5" customHeight="1" x14ac:dyDescent="0.3">
      <c r="A13" s="11" t="s">
        <v>563</v>
      </c>
      <c r="B13" s="11" t="s">
        <v>564</v>
      </c>
      <c r="C13" s="11" t="s">
        <v>221</v>
      </c>
      <c r="D13" s="51">
        <v>31</v>
      </c>
      <c r="E13" s="51">
        <v>34.400000000000006</v>
      </c>
      <c r="F13" s="51">
        <f t="shared" si="0"/>
        <v>-3.4000000000000057</v>
      </c>
      <c r="G13" s="51">
        <f t="shared" si="1"/>
        <v>-9.8837209302325721</v>
      </c>
      <c r="H13" s="126"/>
      <c r="I13" s="87"/>
      <c r="J13" s="87"/>
      <c r="K13" s="87"/>
      <c r="L13" s="87"/>
      <c r="M13" s="87"/>
      <c r="N13" s="87"/>
      <c r="O13" s="87"/>
      <c r="P13" s="87"/>
      <c r="Q13" s="87"/>
      <c r="R13" s="87"/>
      <c r="S13" s="87"/>
      <c r="T13" s="87"/>
      <c r="U13" s="87"/>
      <c r="V13" s="87"/>
      <c r="W13" s="87"/>
      <c r="X13" s="87"/>
      <c r="Y13" s="87"/>
      <c r="Z13" s="87"/>
    </row>
    <row r="14" spans="1:26" ht="28.5" customHeight="1" x14ac:dyDescent="0.3">
      <c r="A14" s="11" t="s">
        <v>565</v>
      </c>
      <c r="B14" s="11" t="s">
        <v>566</v>
      </c>
      <c r="C14" s="11" t="s">
        <v>62</v>
      </c>
      <c r="D14" s="51">
        <v>26.2</v>
      </c>
      <c r="E14" s="51">
        <v>22</v>
      </c>
      <c r="F14" s="51">
        <f t="shared" si="0"/>
        <v>4.1999999999999993</v>
      </c>
      <c r="G14" s="51">
        <f t="shared" si="1"/>
        <v>19.09090909090909</v>
      </c>
      <c r="H14" s="126"/>
      <c r="I14" s="87"/>
      <c r="J14" s="87"/>
      <c r="K14" s="87"/>
      <c r="L14" s="87"/>
      <c r="M14" s="87"/>
      <c r="N14" s="87"/>
      <c r="O14" s="87"/>
      <c r="P14" s="87"/>
      <c r="Q14" s="87"/>
      <c r="R14" s="87"/>
      <c r="S14" s="87"/>
      <c r="T14" s="87"/>
      <c r="U14" s="87"/>
      <c r="V14" s="87"/>
      <c r="W14" s="87"/>
      <c r="X14" s="87"/>
      <c r="Y14" s="87"/>
      <c r="Z14" s="87"/>
    </row>
    <row r="15" spans="1:26" ht="28.5" customHeight="1" x14ac:dyDescent="0.3">
      <c r="A15" s="11" t="s">
        <v>567</v>
      </c>
      <c r="B15" s="11" t="s">
        <v>568</v>
      </c>
      <c r="C15" s="11" t="s">
        <v>221</v>
      </c>
      <c r="D15" s="51">
        <v>2.2999999999999998</v>
      </c>
      <c r="E15" s="51">
        <v>1.7999999999999998</v>
      </c>
      <c r="F15" s="51">
        <f t="shared" si="0"/>
        <v>0.5</v>
      </c>
      <c r="G15" s="51">
        <f t="shared" si="1"/>
        <v>27.777777777777779</v>
      </c>
      <c r="H15" s="126"/>
      <c r="I15" s="87"/>
      <c r="J15" s="87"/>
      <c r="K15" s="87"/>
      <c r="L15" s="87"/>
      <c r="M15" s="87"/>
      <c r="N15" s="87"/>
      <c r="O15" s="87"/>
      <c r="P15" s="87"/>
      <c r="Q15" s="87"/>
      <c r="R15" s="87"/>
      <c r="S15" s="87"/>
      <c r="T15" s="87"/>
      <c r="U15" s="87"/>
      <c r="V15" s="87"/>
      <c r="W15" s="87"/>
      <c r="X15" s="87"/>
      <c r="Y15" s="87"/>
      <c r="Z15" s="87"/>
    </row>
    <row r="16" spans="1:26" ht="28.5" customHeight="1" x14ac:dyDescent="0.3">
      <c r="A16" s="11" t="s">
        <v>569</v>
      </c>
      <c r="B16" s="11" t="s">
        <v>570</v>
      </c>
      <c r="C16" s="11" t="s">
        <v>221</v>
      </c>
      <c r="D16" s="51">
        <v>4.9000000000000004</v>
      </c>
      <c r="E16" s="51">
        <v>4.0999999999999996</v>
      </c>
      <c r="F16" s="51">
        <f t="shared" si="0"/>
        <v>0.80000000000000071</v>
      </c>
      <c r="G16" s="51">
        <f t="shared" si="1"/>
        <v>19.51219512195124</v>
      </c>
      <c r="H16" s="126"/>
      <c r="I16" s="87"/>
      <c r="J16" s="87"/>
      <c r="K16" s="87"/>
      <c r="L16" s="87"/>
      <c r="M16" s="87"/>
      <c r="N16" s="87"/>
      <c r="O16" s="87"/>
      <c r="P16" s="87"/>
      <c r="Q16" s="87"/>
      <c r="R16" s="87"/>
      <c r="S16" s="87"/>
      <c r="T16" s="87"/>
      <c r="U16" s="87"/>
      <c r="V16" s="87"/>
      <c r="W16" s="87"/>
      <c r="X16" s="87"/>
      <c r="Y16" s="87"/>
      <c r="Z16" s="87"/>
    </row>
    <row r="17" spans="1:26" ht="28.5" customHeight="1" x14ac:dyDescent="0.3">
      <c r="A17" s="11" t="s">
        <v>571</v>
      </c>
      <c r="B17" s="11" t="s">
        <v>572</v>
      </c>
      <c r="C17" s="32" t="s">
        <v>89</v>
      </c>
      <c r="D17" s="51">
        <v>29.800000000000004</v>
      </c>
      <c r="E17" s="51">
        <v>22.1</v>
      </c>
      <c r="F17" s="51">
        <f t="shared" si="0"/>
        <v>7.7000000000000028</v>
      </c>
      <c r="G17" s="51">
        <f t="shared" si="1"/>
        <v>34.841628959276029</v>
      </c>
      <c r="H17" s="126"/>
      <c r="I17" s="87"/>
      <c r="J17" s="87"/>
      <c r="K17" s="87"/>
      <c r="L17" s="87"/>
      <c r="M17" s="87"/>
      <c r="N17" s="87"/>
      <c r="O17" s="87"/>
      <c r="P17" s="87"/>
      <c r="Q17" s="87"/>
      <c r="R17" s="87"/>
      <c r="S17" s="87"/>
      <c r="T17" s="87"/>
      <c r="U17" s="87"/>
      <c r="V17" s="87"/>
      <c r="W17" s="87"/>
      <c r="X17" s="87"/>
      <c r="Y17" s="87"/>
      <c r="Z17" s="87"/>
    </row>
    <row r="18" spans="1:26" ht="28.5" customHeight="1" x14ac:dyDescent="0.3">
      <c r="A18" s="26" t="s">
        <v>38</v>
      </c>
      <c r="B18" s="26"/>
      <c r="C18" s="26"/>
      <c r="D18" s="19">
        <v>520.6</v>
      </c>
      <c r="E18" s="19">
        <v>469.40000000000003</v>
      </c>
      <c r="F18" s="19">
        <f t="shared" si="0"/>
        <v>51.199999999999989</v>
      </c>
      <c r="G18" s="19">
        <f t="shared" si="1"/>
        <v>10.907541542394544</v>
      </c>
      <c r="H18" s="126"/>
      <c r="I18" s="87"/>
      <c r="J18" s="87"/>
      <c r="K18" s="87"/>
      <c r="L18" s="87"/>
      <c r="M18" s="87"/>
      <c r="N18" s="87"/>
      <c r="O18" s="87"/>
      <c r="P18" s="87"/>
      <c r="Q18" s="87"/>
      <c r="R18" s="87"/>
      <c r="S18" s="87"/>
      <c r="T18" s="87"/>
      <c r="U18" s="87"/>
      <c r="V18" s="87"/>
      <c r="W18" s="87"/>
      <c r="X18" s="87"/>
      <c r="Y18" s="87"/>
      <c r="Z18" s="87"/>
    </row>
  </sheetData>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2A5DB0"/>
  </sheetPr>
  <dimension ref="A1:Z22"/>
  <sheetViews>
    <sheetView workbookViewId="0">
      <pane ySplit="1" topLeftCell="A2" activePane="bottomLeft" state="frozen"/>
      <selection pane="bottomLeft"/>
    </sheetView>
  </sheetViews>
  <sheetFormatPr defaultColWidth="14.44140625" defaultRowHeight="15.75" customHeight="1" x14ac:dyDescent="0.25"/>
  <cols>
    <col min="1" max="1" width="32.33203125" customWidth="1"/>
    <col min="2" max="2" width="31.5546875" customWidth="1"/>
    <col min="3" max="3" width="35.44140625" customWidth="1"/>
    <col min="4" max="5" width="16.88671875" customWidth="1"/>
    <col min="6" max="6" width="22.33203125" customWidth="1"/>
    <col min="7" max="7" width="13" customWidth="1"/>
    <col min="8" max="20" width="8.6640625" customWidth="1"/>
  </cols>
  <sheetData>
    <row r="1" spans="1:26" ht="34.5" customHeight="1" x14ac:dyDescent="0.3">
      <c r="A1" s="128" t="s">
        <v>1733</v>
      </c>
      <c r="B1" s="129" t="s">
        <v>10</v>
      </c>
      <c r="C1" s="129" t="s">
        <v>11</v>
      </c>
      <c r="D1" s="39" t="s">
        <v>1687</v>
      </c>
      <c r="E1" s="129" t="s">
        <v>1688</v>
      </c>
      <c r="F1" s="38" t="s">
        <v>1682</v>
      </c>
      <c r="G1" s="129" t="s">
        <v>1702</v>
      </c>
      <c r="H1" s="17"/>
      <c r="I1" s="17"/>
      <c r="J1" s="17"/>
      <c r="K1" s="17"/>
      <c r="L1" s="17"/>
      <c r="M1" s="17"/>
      <c r="N1" s="17"/>
      <c r="O1" s="17"/>
      <c r="P1" s="17"/>
      <c r="Q1" s="17"/>
      <c r="R1" s="17"/>
      <c r="S1" s="17"/>
      <c r="T1" s="17"/>
      <c r="U1" s="87"/>
      <c r="V1" s="87"/>
      <c r="W1" s="87"/>
      <c r="X1" s="87"/>
      <c r="Y1" s="87"/>
      <c r="Z1" s="87"/>
    </row>
    <row r="2" spans="1:26" ht="28.5" customHeight="1" x14ac:dyDescent="0.3">
      <c r="A2" s="120" t="s">
        <v>1734</v>
      </c>
      <c r="B2" s="120" t="s">
        <v>1735</v>
      </c>
      <c r="C2" s="120" t="s">
        <v>62</v>
      </c>
      <c r="D2" s="13">
        <f>6.3+10.9+9.4+6.3</f>
        <v>32.9</v>
      </c>
      <c r="E2" s="13">
        <v>40.5</v>
      </c>
      <c r="F2" s="13">
        <f t="shared" ref="F2:F12" si="0">D2-E2</f>
        <v>-7.6000000000000014</v>
      </c>
      <c r="G2" s="25">
        <f t="shared" ref="G2:G22" si="1">(F2/E2)*100</f>
        <v>-18.765432098765437</v>
      </c>
      <c r="H2" s="87"/>
      <c r="I2" s="87"/>
      <c r="J2" s="87"/>
      <c r="K2" s="87"/>
      <c r="L2" s="87"/>
      <c r="M2" s="87"/>
      <c r="N2" s="87"/>
      <c r="O2" s="87"/>
      <c r="P2" s="87"/>
      <c r="Q2" s="87"/>
      <c r="R2" s="87"/>
      <c r="S2" s="87"/>
      <c r="T2" s="87"/>
      <c r="U2" s="87"/>
      <c r="V2" s="87"/>
      <c r="W2" s="87"/>
      <c r="X2" s="87"/>
      <c r="Y2" s="87"/>
      <c r="Z2" s="87"/>
    </row>
    <row r="3" spans="1:26" ht="28.5" customHeight="1" x14ac:dyDescent="0.3">
      <c r="A3" s="130" t="s">
        <v>574</v>
      </c>
      <c r="B3" s="24" t="s">
        <v>139</v>
      </c>
      <c r="C3" s="24" t="s">
        <v>43</v>
      </c>
      <c r="D3" s="131">
        <v>59.8</v>
      </c>
      <c r="E3" s="132">
        <v>59.6</v>
      </c>
      <c r="F3" s="133">
        <f t="shared" si="0"/>
        <v>0.19999999999999574</v>
      </c>
      <c r="G3" s="134">
        <f t="shared" si="1"/>
        <v>0.33557046979865057</v>
      </c>
      <c r="H3" s="87"/>
      <c r="I3" s="87"/>
      <c r="J3" s="87"/>
      <c r="K3" s="87"/>
      <c r="L3" s="87"/>
      <c r="M3" s="87"/>
      <c r="N3" s="87"/>
      <c r="O3" s="87"/>
      <c r="P3" s="87"/>
      <c r="Q3" s="87"/>
      <c r="R3" s="87"/>
      <c r="S3" s="87"/>
      <c r="T3" s="87"/>
      <c r="U3" s="87"/>
      <c r="V3" s="87"/>
      <c r="W3" s="87"/>
      <c r="X3" s="87"/>
      <c r="Y3" s="87"/>
      <c r="Z3" s="87"/>
    </row>
    <row r="4" spans="1:26" ht="28.5" customHeight="1" x14ac:dyDescent="0.3">
      <c r="A4" s="120" t="s">
        <v>575</v>
      </c>
      <c r="B4" s="120" t="s">
        <v>576</v>
      </c>
      <c r="C4" s="120" t="s">
        <v>62</v>
      </c>
      <c r="D4" s="50">
        <f>6.5+6.1+7.2+7.1</f>
        <v>26.9</v>
      </c>
      <c r="E4" s="13">
        <v>28.8</v>
      </c>
      <c r="F4" s="13">
        <f t="shared" si="0"/>
        <v>-1.9000000000000021</v>
      </c>
      <c r="G4" s="25">
        <f t="shared" si="1"/>
        <v>-6.5972222222222294</v>
      </c>
      <c r="H4" s="87"/>
      <c r="I4" s="87"/>
      <c r="J4" s="87"/>
      <c r="K4" s="87"/>
      <c r="L4" s="87"/>
      <c r="M4" s="87"/>
      <c r="N4" s="87"/>
      <c r="O4" s="87"/>
      <c r="P4" s="87"/>
      <c r="Q4" s="87"/>
      <c r="R4" s="87"/>
      <c r="S4" s="87"/>
      <c r="T4" s="87"/>
      <c r="U4" s="87"/>
      <c r="V4" s="87"/>
      <c r="W4" s="87"/>
      <c r="X4" s="87"/>
      <c r="Y4" s="87"/>
      <c r="Z4" s="87"/>
    </row>
    <row r="5" spans="1:26" ht="28.5" customHeight="1" x14ac:dyDescent="0.3">
      <c r="A5" s="120" t="s">
        <v>577</v>
      </c>
      <c r="B5" s="120" t="s">
        <v>578</v>
      </c>
      <c r="C5" s="120" t="s">
        <v>62</v>
      </c>
      <c r="D5" s="13">
        <f>6.6+7.8+6.3+6.2</f>
        <v>26.9</v>
      </c>
      <c r="E5" s="13">
        <v>35.799999999999997</v>
      </c>
      <c r="F5" s="13">
        <f t="shared" si="0"/>
        <v>-8.8999999999999986</v>
      </c>
      <c r="G5" s="25">
        <f t="shared" si="1"/>
        <v>-24.860335195530723</v>
      </c>
      <c r="H5" s="87"/>
      <c r="I5" s="87"/>
      <c r="J5" s="87"/>
      <c r="K5" s="87"/>
      <c r="L5" s="87"/>
      <c r="M5" s="87"/>
      <c r="N5" s="87"/>
      <c r="O5" s="87"/>
      <c r="P5" s="87"/>
      <c r="Q5" s="87"/>
      <c r="R5" s="87"/>
      <c r="S5" s="87"/>
      <c r="T5" s="87"/>
      <c r="U5" s="87"/>
      <c r="V5" s="87"/>
      <c r="W5" s="87"/>
      <c r="X5" s="87"/>
      <c r="Y5" s="87"/>
      <c r="Z5" s="87"/>
    </row>
    <row r="6" spans="1:26" ht="28.5" customHeight="1" x14ac:dyDescent="0.3">
      <c r="A6" s="120" t="s">
        <v>579</v>
      </c>
      <c r="B6" s="120" t="s">
        <v>580</v>
      </c>
      <c r="C6" s="120" t="s">
        <v>62</v>
      </c>
      <c r="D6" s="13">
        <f>6.5+6.4+6.7+7</f>
        <v>26.6</v>
      </c>
      <c r="E6" s="13">
        <f>4.9+6+5.9+6.9</f>
        <v>23.700000000000003</v>
      </c>
      <c r="F6" s="13">
        <f t="shared" si="0"/>
        <v>2.8999999999999986</v>
      </c>
      <c r="G6" s="25">
        <f t="shared" si="1"/>
        <v>12.236286919831215</v>
      </c>
      <c r="H6" s="87"/>
      <c r="I6" s="87"/>
      <c r="J6" s="87"/>
      <c r="K6" s="87"/>
      <c r="L6" s="87"/>
      <c r="M6" s="87"/>
      <c r="N6" s="87"/>
      <c r="O6" s="87"/>
      <c r="P6" s="87"/>
      <c r="Q6" s="87"/>
      <c r="R6" s="87"/>
      <c r="S6" s="87"/>
      <c r="T6" s="87"/>
      <c r="U6" s="87"/>
      <c r="V6" s="87"/>
      <c r="W6" s="87"/>
      <c r="X6" s="87"/>
      <c r="Y6" s="87"/>
      <c r="Z6" s="87"/>
    </row>
    <row r="7" spans="1:26" ht="28.5" customHeight="1" x14ac:dyDescent="0.3">
      <c r="A7" s="120" t="s">
        <v>581</v>
      </c>
      <c r="B7" s="120" t="s">
        <v>582</v>
      </c>
      <c r="C7" s="120" t="s">
        <v>62</v>
      </c>
      <c r="D7" s="13">
        <f>6.1+5.9+5.9+5.5</f>
        <v>23.4</v>
      </c>
      <c r="E7" s="13">
        <f>5+7.6+5.4+6.3</f>
        <v>24.3</v>
      </c>
      <c r="F7" s="13">
        <f t="shared" si="0"/>
        <v>-0.90000000000000213</v>
      </c>
      <c r="G7" s="25">
        <f t="shared" si="1"/>
        <v>-3.7037037037037126</v>
      </c>
      <c r="H7" s="87"/>
      <c r="I7" s="87"/>
      <c r="J7" s="87"/>
      <c r="K7" s="87"/>
      <c r="L7" s="87"/>
      <c r="M7" s="87"/>
      <c r="N7" s="87"/>
      <c r="O7" s="87"/>
      <c r="P7" s="87"/>
      <c r="Q7" s="87"/>
      <c r="R7" s="87"/>
      <c r="S7" s="87"/>
      <c r="T7" s="87"/>
      <c r="U7" s="87"/>
      <c r="V7" s="87"/>
      <c r="W7" s="87"/>
      <c r="X7" s="87"/>
      <c r="Y7" s="87"/>
      <c r="Z7" s="87"/>
    </row>
    <row r="8" spans="1:26" ht="28.5" customHeight="1" x14ac:dyDescent="0.3">
      <c r="A8" s="120" t="s">
        <v>583</v>
      </c>
      <c r="B8" s="120" t="s">
        <v>584</v>
      </c>
      <c r="C8" s="120" t="s">
        <v>62</v>
      </c>
      <c r="D8" s="13">
        <f>2.8+3.6+3.3+3.5</f>
        <v>13.2</v>
      </c>
      <c r="E8" s="13">
        <f>2.4+3.3+3.1+3.5</f>
        <v>12.299999999999999</v>
      </c>
      <c r="F8" s="13">
        <f t="shared" si="0"/>
        <v>0.90000000000000036</v>
      </c>
      <c r="G8" s="25">
        <f t="shared" si="1"/>
        <v>7.3170731707317112</v>
      </c>
      <c r="H8" s="87"/>
      <c r="I8" s="87"/>
      <c r="J8" s="87"/>
      <c r="K8" s="87"/>
      <c r="L8" s="87"/>
      <c r="M8" s="87"/>
      <c r="N8" s="87"/>
      <c r="O8" s="87"/>
      <c r="P8" s="87"/>
      <c r="Q8" s="87"/>
      <c r="R8" s="87"/>
      <c r="S8" s="87"/>
      <c r="T8" s="87"/>
      <c r="U8" s="87"/>
      <c r="V8" s="87"/>
      <c r="W8" s="87"/>
      <c r="X8" s="87"/>
      <c r="Y8" s="87"/>
      <c r="Z8" s="87"/>
    </row>
    <row r="9" spans="1:26" ht="28.5" customHeight="1" x14ac:dyDescent="0.3">
      <c r="A9" s="120" t="s">
        <v>585</v>
      </c>
      <c r="B9" s="120" t="s">
        <v>586</v>
      </c>
      <c r="C9" s="120" t="s">
        <v>62</v>
      </c>
      <c r="D9" s="13">
        <f>1.8+1.6+1.7+1.5</f>
        <v>6.6000000000000005</v>
      </c>
      <c r="E9" s="13">
        <f>1.4+1.6+1.5+1.6</f>
        <v>6.1</v>
      </c>
      <c r="F9" s="13">
        <f t="shared" si="0"/>
        <v>0.50000000000000089</v>
      </c>
      <c r="G9" s="25">
        <f t="shared" si="1"/>
        <v>8.1967213114754252</v>
      </c>
      <c r="H9" s="87"/>
      <c r="I9" s="87"/>
      <c r="J9" s="87"/>
      <c r="K9" s="87"/>
      <c r="L9" s="87"/>
      <c r="M9" s="87"/>
      <c r="N9" s="87"/>
      <c r="O9" s="87"/>
      <c r="P9" s="87"/>
      <c r="Q9" s="87"/>
      <c r="R9" s="87"/>
      <c r="S9" s="87"/>
      <c r="T9" s="87"/>
      <c r="U9" s="87"/>
      <c r="V9" s="87"/>
      <c r="W9" s="87"/>
      <c r="X9" s="87"/>
      <c r="Y9" s="87"/>
      <c r="Z9" s="87"/>
    </row>
    <row r="10" spans="1:26" ht="28.5" customHeight="1" x14ac:dyDescent="0.3">
      <c r="A10" s="120" t="s">
        <v>587</v>
      </c>
      <c r="B10" s="120" t="s">
        <v>549</v>
      </c>
      <c r="C10" s="120" t="s">
        <v>62</v>
      </c>
      <c r="D10" s="13">
        <f>1.2+1+1.1+1.3</f>
        <v>4.6000000000000005</v>
      </c>
      <c r="E10" s="13">
        <f>1.2+1.2+1.1+1</f>
        <v>4.5</v>
      </c>
      <c r="F10" s="120">
        <f t="shared" si="0"/>
        <v>0.10000000000000053</v>
      </c>
      <c r="G10" s="25">
        <f t="shared" si="1"/>
        <v>2.2222222222222343</v>
      </c>
      <c r="H10" s="87"/>
      <c r="I10" s="87"/>
      <c r="J10" s="87"/>
      <c r="K10" s="87"/>
      <c r="L10" s="87"/>
      <c r="M10" s="87"/>
      <c r="N10" s="87"/>
      <c r="O10" s="87"/>
      <c r="P10" s="87"/>
      <c r="Q10" s="87"/>
      <c r="R10" s="87"/>
      <c r="S10" s="87"/>
      <c r="T10" s="87"/>
      <c r="U10" s="87"/>
      <c r="V10" s="87"/>
      <c r="W10" s="87"/>
      <c r="X10" s="87"/>
      <c r="Y10" s="87"/>
      <c r="Z10" s="87"/>
    </row>
    <row r="11" spans="1:26" ht="28.5" customHeight="1" x14ac:dyDescent="0.3">
      <c r="A11" s="120" t="s">
        <v>177</v>
      </c>
      <c r="B11" s="120"/>
      <c r="C11" s="120"/>
      <c r="D11" s="13">
        <f>0.7+0.6+1.4+2</f>
        <v>4.6999999999999993</v>
      </c>
      <c r="E11" s="13">
        <f>0.5+0.7+0.7+0.8</f>
        <v>2.7</v>
      </c>
      <c r="F11" s="13">
        <f t="shared" si="0"/>
        <v>1.9999999999999991</v>
      </c>
      <c r="G11" s="25">
        <f t="shared" si="1"/>
        <v>74.074074074074034</v>
      </c>
      <c r="H11" s="87"/>
      <c r="I11" s="87"/>
      <c r="J11" s="87"/>
      <c r="K11" s="87"/>
      <c r="L11" s="87"/>
      <c r="M11" s="87"/>
      <c r="N11" s="87"/>
      <c r="O11" s="87"/>
      <c r="P11" s="87"/>
      <c r="Q11" s="87"/>
      <c r="R11" s="87"/>
      <c r="S11" s="87"/>
      <c r="T11" s="87"/>
      <c r="U11" s="87"/>
      <c r="V11" s="87"/>
      <c r="W11" s="87"/>
      <c r="X11" s="87"/>
      <c r="Y11" s="87"/>
      <c r="Z11" s="87"/>
    </row>
    <row r="12" spans="1:26" ht="28.5" customHeight="1" x14ac:dyDescent="0.3">
      <c r="A12" s="135" t="s">
        <v>481</v>
      </c>
      <c r="B12" s="135"/>
      <c r="C12" s="135"/>
      <c r="D12" s="21">
        <f>38.5+43.8+43.1+40.4</f>
        <v>165.8</v>
      </c>
      <c r="E12" s="21">
        <f>40.8+50.3+45.7+48.8</f>
        <v>185.60000000000002</v>
      </c>
      <c r="F12" s="21">
        <f t="shared" si="0"/>
        <v>-19.800000000000011</v>
      </c>
      <c r="G12" s="22">
        <f t="shared" si="1"/>
        <v>-10.668103448275868</v>
      </c>
      <c r="H12" s="87"/>
      <c r="I12" s="87"/>
      <c r="J12" s="87"/>
      <c r="K12" s="87"/>
      <c r="L12" s="87"/>
      <c r="M12" s="87"/>
      <c r="N12" s="87"/>
      <c r="O12" s="87"/>
      <c r="P12" s="87"/>
      <c r="Q12" s="87"/>
      <c r="R12" s="87"/>
      <c r="S12" s="87"/>
      <c r="T12" s="87"/>
      <c r="U12" s="87"/>
      <c r="V12" s="87"/>
      <c r="W12" s="87"/>
      <c r="X12" s="87"/>
      <c r="Y12" s="87"/>
      <c r="Z12" s="87"/>
    </row>
    <row r="13" spans="1:26" ht="28.5" customHeight="1" x14ac:dyDescent="0.3">
      <c r="A13" s="120" t="s">
        <v>588</v>
      </c>
      <c r="B13" s="120" t="s">
        <v>589</v>
      </c>
      <c r="C13" s="120" t="s">
        <v>49</v>
      </c>
      <c r="D13" s="49">
        <f>31.4+34.7+33.8+35.3</f>
        <v>135.19999999999999</v>
      </c>
      <c r="E13" s="13">
        <f>19.2+24.8+25.8+30</f>
        <v>99.8</v>
      </c>
      <c r="F13" s="13">
        <f>D17-E13</f>
        <v>86.399999999999991</v>
      </c>
      <c r="G13" s="25">
        <f t="shared" si="1"/>
        <v>86.573146292585164</v>
      </c>
      <c r="H13" s="87"/>
      <c r="I13" s="87"/>
      <c r="J13" s="87"/>
      <c r="K13" s="87"/>
      <c r="L13" s="87"/>
      <c r="M13" s="87"/>
      <c r="N13" s="87"/>
      <c r="O13" s="87"/>
      <c r="P13" s="87"/>
      <c r="Q13" s="87"/>
      <c r="R13" s="87"/>
      <c r="S13" s="87"/>
      <c r="T13" s="87"/>
      <c r="U13" s="87"/>
      <c r="V13" s="87"/>
      <c r="W13" s="87"/>
      <c r="X13" s="87"/>
      <c r="Y13" s="87"/>
      <c r="Z13" s="87"/>
    </row>
    <row r="14" spans="1:26" ht="28.5" customHeight="1" x14ac:dyDescent="0.3">
      <c r="A14" s="120" t="s">
        <v>590</v>
      </c>
      <c r="B14" s="120" t="s">
        <v>591</v>
      </c>
      <c r="C14" s="120" t="s">
        <v>49</v>
      </c>
      <c r="D14" s="13">
        <f>9.7+9.4+9.2+9.5</f>
        <v>37.799999999999997</v>
      </c>
      <c r="E14" s="13">
        <v>40.6</v>
      </c>
      <c r="F14" s="13">
        <f t="shared" ref="F14:F22" si="2">D14-E14</f>
        <v>-2.8000000000000043</v>
      </c>
      <c r="G14" s="25">
        <f t="shared" si="1"/>
        <v>-6.8965517241379404</v>
      </c>
      <c r="H14" s="87"/>
      <c r="I14" s="87"/>
      <c r="J14" s="87"/>
      <c r="K14" s="87"/>
      <c r="L14" s="87"/>
      <c r="M14" s="87"/>
      <c r="N14" s="87"/>
      <c r="O14" s="87"/>
      <c r="P14" s="87"/>
      <c r="Q14" s="87"/>
      <c r="R14" s="87"/>
      <c r="S14" s="87"/>
      <c r="T14" s="87"/>
      <c r="U14" s="87"/>
      <c r="V14" s="87"/>
      <c r="W14" s="87"/>
      <c r="X14" s="87"/>
      <c r="Y14" s="87"/>
      <c r="Z14" s="87"/>
    </row>
    <row r="15" spans="1:26" ht="28.5" customHeight="1" x14ac:dyDescent="0.3">
      <c r="A15" s="120" t="s">
        <v>592</v>
      </c>
      <c r="B15" s="120" t="s">
        <v>593</v>
      </c>
      <c r="C15" s="120" t="s">
        <v>49</v>
      </c>
      <c r="D15" s="13">
        <f>1.6+2+1.8+1.8</f>
        <v>7.2</v>
      </c>
      <c r="E15" s="13">
        <v>7.5</v>
      </c>
      <c r="F15" s="120">
        <f t="shared" si="2"/>
        <v>-0.29999999999999982</v>
      </c>
      <c r="G15" s="25">
        <f t="shared" si="1"/>
        <v>-3.9999999999999973</v>
      </c>
      <c r="H15" s="87"/>
      <c r="I15" s="87"/>
      <c r="J15" s="87"/>
      <c r="K15" s="87"/>
      <c r="L15" s="87"/>
      <c r="M15" s="87"/>
      <c r="N15" s="87"/>
      <c r="O15" s="87"/>
      <c r="P15" s="87"/>
      <c r="Q15" s="87"/>
      <c r="R15" s="87"/>
      <c r="S15" s="87"/>
      <c r="T15" s="87"/>
      <c r="U15" s="87"/>
      <c r="V15" s="87"/>
      <c r="W15" s="87"/>
      <c r="X15" s="87"/>
      <c r="Y15" s="87"/>
      <c r="Z15" s="87"/>
    </row>
    <row r="16" spans="1:26" ht="28.5" customHeight="1" x14ac:dyDescent="0.3">
      <c r="A16" s="120" t="s">
        <v>177</v>
      </c>
      <c r="B16" s="120"/>
      <c r="C16" s="120"/>
      <c r="D16" s="13">
        <f>1.3+1.7+1.6+1.6</f>
        <v>6.1999999999999993</v>
      </c>
      <c r="E16" s="13">
        <f>1.6+1.8+1.3+1.4</f>
        <v>6.1</v>
      </c>
      <c r="F16" s="120">
        <f t="shared" si="2"/>
        <v>9.9999999999999645E-2</v>
      </c>
      <c r="G16" s="25">
        <f t="shared" si="1"/>
        <v>1.6393442622950762</v>
      </c>
      <c r="H16" s="87"/>
      <c r="I16" s="87"/>
      <c r="J16" s="87"/>
      <c r="K16" s="87"/>
      <c r="L16" s="87"/>
      <c r="M16" s="87"/>
      <c r="N16" s="87"/>
      <c r="O16" s="87"/>
      <c r="P16" s="87"/>
      <c r="Q16" s="87"/>
      <c r="R16" s="87"/>
      <c r="S16" s="87"/>
      <c r="T16" s="87"/>
      <c r="U16" s="87"/>
      <c r="V16" s="87"/>
      <c r="W16" s="87"/>
      <c r="X16" s="87"/>
      <c r="Y16" s="87"/>
      <c r="Z16" s="87"/>
    </row>
    <row r="17" spans="1:26" ht="28.5" customHeight="1" x14ac:dyDescent="0.3">
      <c r="A17" s="135" t="s">
        <v>49</v>
      </c>
      <c r="B17" s="135"/>
      <c r="C17" s="135"/>
      <c r="D17" s="21">
        <f>43.9+47.7+46.4+48.2</f>
        <v>186.2</v>
      </c>
      <c r="E17" s="21">
        <f>32.3+39.6+39+43.4</f>
        <v>154.30000000000001</v>
      </c>
      <c r="F17" s="21">
        <f t="shared" si="2"/>
        <v>31.899999999999977</v>
      </c>
      <c r="G17" s="22">
        <f t="shared" si="1"/>
        <v>20.674011665586502</v>
      </c>
      <c r="H17" s="87"/>
      <c r="I17" s="87"/>
      <c r="J17" s="87"/>
      <c r="K17" s="87"/>
      <c r="L17" s="87"/>
      <c r="M17" s="87"/>
      <c r="N17" s="87"/>
      <c r="O17" s="87"/>
      <c r="P17" s="87"/>
      <c r="Q17" s="87"/>
      <c r="R17" s="87"/>
      <c r="S17" s="87"/>
      <c r="T17" s="87"/>
      <c r="U17" s="87"/>
      <c r="V17" s="87"/>
      <c r="W17" s="87"/>
      <c r="X17" s="87"/>
      <c r="Y17" s="87"/>
      <c r="Z17" s="87"/>
    </row>
    <row r="18" spans="1:26" ht="28.5" customHeight="1" x14ac:dyDescent="0.25">
      <c r="A18" s="136" t="s">
        <v>594</v>
      </c>
      <c r="B18" s="137" t="s">
        <v>595</v>
      </c>
      <c r="C18" s="136" t="s">
        <v>97</v>
      </c>
      <c r="D18" s="138">
        <v>19.8</v>
      </c>
      <c r="E18" s="138">
        <v>21.1</v>
      </c>
      <c r="F18" s="13">
        <f t="shared" si="2"/>
        <v>-1.3000000000000007</v>
      </c>
      <c r="G18" s="25">
        <f t="shared" si="1"/>
        <v>-6.1611374407582975</v>
      </c>
      <c r="H18" s="139"/>
      <c r="I18" s="139"/>
      <c r="J18" s="139"/>
      <c r="K18" s="139"/>
      <c r="L18" s="139"/>
      <c r="M18" s="139"/>
      <c r="N18" s="139"/>
      <c r="O18" s="139"/>
      <c r="P18" s="139"/>
      <c r="Q18" s="139"/>
      <c r="R18" s="139"/>
      <c r="S18" s="139"/>
      <c r="T18" s="139"/>
      <c r="U18" s="139"/>
      <c r="V18" s="139"/>
      <c r="W18" s="139"/>
      <c r="X18" s="139"/>
      <c r="Y18" s="139"/>
      <c r="Z18" s="139"/>
    </row>
    <row r="19" spans="1:26" ht="28.5" customHeight="1" x14ac:dyDescent="0.25">
      <c r="A19" s="136" t="s">
        <v>596</v>
      </c>
      <c r="B19" s="137" t="s">
        <v>597</v>
      </c>
      <c r="C19" s="136" t="s">
        <v>26</v>
      </c>
      <c r="D19" s="138">
        <v>6.4</v>
      </c>
      <c r="E19" s="138">
        <v>6.4</v>
      </c>
      <c r="F19" s="13">
        <f t="shared" si="2"/>
        <v>0</v>
      </c>
      <c r="G19" s="25">
        <f t="shared" si="1"/>
        <v>0</v>
      </c>
      <c r="H19" s="139"/>
      <c r="I19" s="139"/>
      <c r="J19" s="139"/>
      <c r="K19" s="139"/>
      <c r="L19" s="139"/>
      <c r="M19" s="139"/>
      <c r="N19" s="139"/>
      <c r="O19" s="139"/>
      <c r="P19" s="139"/>
      <c r="Q19" s="139"/>
      <c r="R19" s="139"/>
      <c r="S19" s="139"/>
      <c r="T19" s="139"/>
      <c r="U19" s="139"/>
      <c r="V19" s="139"/>
      <c r="W19" s="139"/>
      <c r="X19" s="139"/>
      <c r="Y19" s="139"/>
      <c r="Z19" s="139"/>
    </row>
    <row r="20" spans="1:26" ht="28.5" customHeight="1" x14ac:dyDescent="0.25">
      <c r="A20" s="136" t="s">
        <v>598</v>
      </c>
      <c r="B20" s="137" t="s">
        <v>582</v>
      </c>
      <c r="C20" s="136" t="s">
        <v>62</v>
      </c>
      <c r="D20" s="138">
        <v>22</v>
      </c>
      <c r="E20" s="138">
        <v>21.4</v>
      </c>
      <c r="F20" s="13">
        <f t="shared" si="2"/>
        <v>0.60000000000000142</v>
      </c>
      <c r="G20" s="25">
        <f t="shared" si="1"/>
        <v>2.8037383177570163</v>
      </c>
      <c r="H20" s="139"/>
      <c r="I20" s="139"/>
      <c r="J20" s="139"/>
      <c r="K20" s="139"/>
      <c r="L20" s="139"/>
      <c r="M20" s="139"/>
      <c r="N20" s="139"/>
      <c r="O20" s="139"/>
      <c r="P20" s="139"/>
      <c r="Q20" s="139"/>
      <c r="R20" s="139"/>
      <c r="S20" s="139"/>
      <c r="T20" s="139"/>
      <c r="U20" s="139"/>
      <c r="V20" s="139"/>
      <c r="W20" s="139"/>
      <c r="X20" s="139"/>
      <c r="Y20" s="139"/>
      <c r="Z20" s="139"/>
    </row>
    <row r="21" spans="1:26" ht="28.5" customHeight="1" x14ac:dyDescent="0.25">
      <c r="A21" s="136" t="s">
        <v>599</v>
      </c>
      <c r="B21" s="137" t="s">
        <v>595</v>
      </c>
      <c r="C21" s="136" t="s">
        <v>97</v>
      </c>
      <c r="D21" s="138">
        <v>4</v>
      </c>
      <c r="E21" s="138">
        <v>4.0999999999999996</v>
      </c>
      <c r="F21" s="13">
        <f t="shared" si="2"/>
        <v>-9.9999999999999645E-2</v>
      </c>
      <c r="G21" s="25">
        <f t="shared" si="1"/>
        <v>-2.4390243902438939</v>
      </c>
      <c r="H21" s="139"/>
      <c r="I21" s="139"/>
      <c r="J21" s="139"/>
      <c r="K21" s="139"/>
      <c r="L21" s="139"/>
      <c r="M21" s="139"/>
      <c r="N21" s="139"/>
      <c r="O21" s="139"/>
      <c r="P21" s="139"/>
      <c r="Q21" s="139"/>
      <c r="R21" s="139"/>
      <c r="S21" s="139"/>
      <c r="T21" s="139"/>
      <c r="U21" s="139"/>
      <c r="V21" s="139"/>
      <c r="W21" s="139"/>
      <c r="X21" s="139"/>
      <c r="Y21" s="139"/>
      <c r="Z21" s="139"/>
    </row>
    <row r="22" spans="1:26" ht="28.5" customHeight="1" x14ac:dyDescent="0.3">
      <c r="A22" s="135" t="s">
        <v>248</v>
      </c>
      <c r="B22" s="135"/>
      <c r="C22" s="135"/>
      <c r="D22" s="21">
        <f>209.6+165.6+151.5+181.3</f>
        <v>708</v>
      </c>
      <c r="E22" s="21">
        <v>661.6</v>
      </c>
      <c r="F22" s="21">
        <f t="shared" si="2"/>
        <v>46.399999999999977</v>
      </c>
      <c r="G22" s="22">
        <f t="shared" si="1"/>
        <v>7.0133010882708557</v>
      </c>
      <c r="H22" s="87"/>
      <c r="I22" s="87"/>
      <c r="J22" s="87"/>
      <c r="K22" s="87"/>
      <c r="L22" s="87"/>
      <c r="M22" s="87"/>
      <c r="N22" s="87"/>
      <c r="O22" s="87"/>
      <c r="P22" s="87"/>
      <c r="Q22" s="87"/>
      <c r="R22" s="87"/>
      <c r="S22" s="87"/>
      <c r="T22" s="87"/>
      <c r="U22" s="87"/>
      <c r="V22" s="87"/>
      <c r="W22" s="87"/>
      <c r="X22" s="87"/>
      <c r="Y22" s="87"/>
      <c r="Z22" s="87"/>
    </row>
  </sheetData>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2A5DB0"/>
  </sheetPr>
  <dimension ref="A1:Z19"/>
  <sheetViews>
    <sheetView workbookViewId="0">
      <pane ySplit="1" topLeftCell="A2" activePane="bottomLeft" state="frozen"/>
      <selection pane="bottomLeft"/>
    </sheetView>
  </sheetViews>
  <sheetFormatPr defaultColWidth="14.44140625" defaultRowHeight="15.75" customHeight="1" x14ac:dyDescent="0.25"/>
  <cols>
    <col min="1" max="1" width="33.6640625" customWidth="1"/>
    <col min="2" max="2" width="32.109375" customWidth="1"/>
    <col min="3" max="3" width="32.6640625" customWidth="1"/>
    <col min="4" max="4" width="20.88671875" customWidth="1"/>
    <col min="5" max="5" width="22" customWidth="1"/>
    <col min="6" max="6" width="18.109375" customWidth="1"/>
    <col min="7" max="7" width="17.44140625" customWidth="1"/>
  </cols>
  <sheetData>
    <row r="1" spans="1:26" ht="34.5" customHeight="1" x14ac:dyDescent="0.3">
      <c r="A1" s="46" t="s">
        <v>1736</v>
      </c>
      <c r="B1" s="47" t="s">
        <v>10</v>
      </c>
      <c r="C1" s="47" t="s">
        <v>11</v>
      </c>
      <c r="D1" s="8" t="s">
        <v>1680</v>
      </c>
      <c r="E1" s="8" t="s">
        <v>1681</v>
      </c>
      <c r="F1" s="47" t="s">
        <v>1682</v>
      </c>
      <c r="G1" s="48" t="s">
        <v>1702</v>
      </c>
      <c r="H1" s="6"/>
      <c r="I1" s="6"/>
      <c r="J1" s="6"/>
      <c r="K1" s="6"/>
      <c r="L1" s="6"/>
      <c r="M1" s="6"/>
      <c r="N1" s="6"/>
      <c r="O1" s="6"/>
      <c r="P1" s="6"/>
      <c r="Q1" s="6"/>
      <c r="R1" s="6"/>
      <c r="S1" s="6"/>
      <c r="T1" s="6"/>
      <c r="U1" s="6"/>
      <c r="V1" s="6"/>
      <c r="W1" s="6"/>
      <c r="X1" s="6"/>
      <c r="Y1" s="6"/>
      <c r="Z1" s="6"/>
    </row>
    <row r="2" spans="1:26" ht="28.5" customHeight="1" x14ac:dyDescent="0.3">
      <c r="A2" s="49" t="s">
        <v>1737</v>
      </c>
      <c r="B2" s="49" t="s">
        <v>1738</v>
      </c>
      <c r="C2" s="49" t="s">
        <v>126</v>
      </c>
      <c r="D2" s="50">
        <v>316.2</v>
      </c>
      <c r="E2" s="50">
        <v>327.60000000000002</v>
      </c>
      <c r="F2" s="50">
        <f t="shared" ref="F2:F19" si="0">D2-E2</f>
        <v>-11.400000000000034</v>
      </c>
      <c r="G2" s="50">
        <f t="shared" ref="G2:G19" si="1">(F2/E2)*100</f>
        <v>-3.4798534798534897</v>
      </c>
      <c r="H2" s="6"/>
      <c r="I2" s="6"/>
      <c r="J2" s="6"/>
      <c r="K2" s="6"/>
      <c r="L2" s="6"/>
      <c r="M2" s="6"/>
      <c r="N2" s="6"/>
      <c r="O2" s="6"/>
      <c r="P2" s="6"/>
      <c r="Q2" s="6"/>
      <c r="R2" s="6"/>
      <c r="S2" s="6"/>
      <c r="T2" s="6"/>
      <c r="U2" s="6"/>
      <c r="V2" s="6"/>
      <c r="W2" s="6"/>
      <c r="X2" s="6"/>
      <c r="Y2" s="6"/>
      <c r="Z2" s="6"/>
    </row>
    <row r="3" spans="1:26" ht="28.5" customHeight="1" x14ac:dyDescent="0.3">
      <c r="A3" s="49" t="s">
        <v>642</v>
      </c>
      <c r="B3" s="49" t="s">
        <v>643</v>
      </c>
      <c r="C3" s="49" t="s">
        <v>49</v>
      </c>
      <c r="D3" s="50">
        <v>88.1</v>
      </c>
      <c r="E3" s="50">
        <v>86.7</v>
      </c>
      <c r="F3" s="50">
        <f t="shared" si="0"/>
        <v>1.3999999999999915</v>
      </c>
      <c r="G3" s="50">
        <f t="shared" si="1"/>
        <v>1.6147635524798056</v>
      </c>
      <c r="H3" s="6"/>
      <c r="I3" s="6"/>
      <c r="J3" s="6"/>
      <c r="K3" s="6"/>
      <c r="L3" s="6"/>
      <c r="M3" s="6"/>
      <c r="N3" s="6"/>
      <c r="O3" s="6"/>
      <c r="P3" s="6"/>
      <c r="Q3" s="6"/>
      <c r="R3" s="6"/>
      <c r="S3" s="6"/>
      <c r="T3" s="6"/>
      <c r="U3" s="6"/>
      <c r="V3" s="6"/>
      <c r="W3" s="6"/>
      <c r="X3" s="6"/>
      <c r="Y3" s="6"/>
      <c r="Z3" s="6"/>
    </row>
    <row r="4" spans="1:26" ht="28.5" customHeight="1" x14ac:dyDescent="0.3">
      <c r="A4" s="49" t="s">
        <v>644</v>
      </c>
      <c r="B4" s="49"/>
      <c r="C4" s="49"/>
      <c r="D4" s="50">
        <v>92.7</v>
      </c>
      <c r="E4" s="50">
        <v>105.2</v>
      </c>
      <c r="F4" s="50">
        <f t="shared" si="0"/>
        <v>-12.5</v>
      </c>
      <c r="G4" s="50">
        <f t="shared" si="1"/>
        <v>-11.882129277566539</v>
      </c>
      <c r="H4" s="6"/>
      <c r="I4" s="6"/>
      <c r="J4" s="6"/>
      <c r="K4" s="6"/>
      <c r="L4" s="6"/>
      <c r="M4" s="6"/>
      <c r="N4" s="6"/>
      <c r="O4" s="6"/>
      <c r="P4" s="6"/>
      <c r="Q4" s="6"/>
      <c r="R4" s="6"/>
      <c r="S4" s="6"/>
      <c r="T4" s="6"/>
      <c r="U4" s="6"/>
      <c r="V4" s="6"/>
      <c r="W4" s="6"/>
      <c r="X4" s="6"/>
      <c r="Y4" s="6"/>
      <c r="Z4" s="6"/>
    </row>
    <row r="5" spans="1:26" ht="28.5" customHeight="1" x14ac:dyDescent="0.3">
      <c r="A5" s="118" t="s">
        <v>645</v>
      </c>
      <c r="B5" s="118"/>
      <c r="C5" s="118"/>
      <c r="D5" s="92">
        <v>497.07799999999997</v>
      </c>
      <c r="E5" s="92">
        <v>519.6</v>
      </c>
      <c r="F5" s="92">
        <f t="shared" si="0"/>
        <v>-22.522000000000048</v>
      </c>
      <c r="G5" s="92">
        <f t="shared" si="1"/>
        <v>-4.3344880677444273</v>
      </c>
      <c r="H5" s="6"/>
      <c r="I5" s="6"/>
      <c r="J5" s="6"/>
      <c r="K5" s="6"/>
      <c r="L5" s="6"/>
      <c r="M5" s="6"/>
      <c r="N5" s="6"/>
      <c r="O5" s="6"/>
      <c r="P5" s="6"/>
      <c r="Q5" s="6"/>
      <c r="R5" s="6"/>
      <c r="S5" s="6"/>
      <c r="T5" s="6"/>
      <c r="U5" s="6"/>
      <c r="V5" s="6"/>
      <c r="W5" s="6"/>
      <c r="X5" s="6"/>
      <c r="Y5" s="6"/>
      <c r="Z5" s="6"/>
    </row>
    <row r="6" spans="1:26" ht="28.5" customHeight="1" x14ac:dyDescent="0.3">
      <c r="A6" s="49" t="s">
        <v>646</v>
      </c>
      <c r="B6" s="49" t="s">
        <v>647</v>
      </c>
      <c r="C6" s="12" t="s">
        <v>89</v>
      </c>
      <c r="D6" s="50">
        <v>110.1</v>
      </c>
      <c r="E6" s="50">
        <v>116</v>
      </c>
      <c r="F6" s="50">
        <f t="shared" si="0"/>
        <v>-5.9000000000000057</v>
      </c>
      <c r="G6" s="50">
        <f t="shared" si="1"/>
        <v>-5.0862068965517286</v>
      </c>
      <c r="H6" s="6"/>
      <c r="I6" s="6"/>
      <c r="J6" s="6"/>
      <c r="K6" s="6"/>
      <c r="L6" s="6"/>
      <c r="M6" s="6"/>
      <c r="N6" s="6"/>
      <c r="O6" s="6"/>
      <c r="P6" s="6"/>
      <c r="Q6" s="6"/>
      <c r="R6" s="6"/>
      <c r="S6" s="6"/>
      <c r="T6" s="6"/>
      <c r="U6" s="6"/>
      <c r="V6" s="6"/>
      <c r="W6" s="6"/>
      <c r="X6" s="6"/>
      <c r="Y6" s="6"/>
      <c r="Z6" s="6"/>
    </row>
    <row r="7" spans="1:26" ht="28.5" customHeight="1" x14ac:dyDescent="0.3">
      <c r="A7" s="49" t="s">
        <v>648</v>
      </c>
      <c r="B7" s="49" t="s">
        <v>649</v>
      </c>
      <c r="C7" s="49" t="s">
        <v>126</v>
      </c>
      <c r="D7" s="50">
        <v>35.200000000000003</v>
      </c>
      <c r="E7" s="50">
        <v>55.2</v>
      </c>
      <c r="F7" s="50">
        <f t="shared" si="0"/>
        <v>-20</v>
      </c>
      <c r="G7" s="50">
        <f t="shared" si="1"/>
        <v>-36.231884057971016</v>
      </c>
      <c r="H7" s="6"/>
      <c r="I7" s="6"/>
      <c r="J7" s="6"/>
      <c r="K7" s="6"/>
      <c r="L7" s="6"/>
      <c r="M7" s="6"/>
      <c r="N7" s="6"/>
      <c r="O7" s="6"/>
      <c r="P7" s="6"/>
      <c r="Q7" s="6"/>
      <c r="R7" s="6"/>
      <c r="S7" s="6"/>
      <c r="T7" s="6"/>
      <c r="U7" s="6"/>
      <c r="V7" s="6"/>
      <c r="W7" s="6"/>
      <c r="X7" s="6"/>
      <c r="Y7" s="6"/>
      <c r="Z7" s="6"/>
    </row>
    <row r="8" spans="1:26" ht="28.5" customHeight="1" x14ac:dyDescent="0.3">
      <c r="A8" s="49" t="s">
        <v>650</v>
      </c>
      <c r="B8" s="49"/>
      <c r="C8" s="49"/>
      <c r="D8" s="50">
        <v>139.4</v>
      </c>
      <c r="E8" s="50">
        <v>164.4</v>
      </c>
      <c r="F8" s="50">
        <f t="shared" si="0"/>
        <v>-25</v>
      </c>
      <c r="G8" s="50">
        <f t="shared" si="1"/>
        <v>-15.206812652068127</v>
      </c>
      <c r="H8" s="6"/>
      <c r="I8" s="6"/>
      <c r="J8" s="6"/>
      <c r="K8" s="6"/>
      <c r="L8" s="6"/>
      <c r="M8" s="6"/>
      <c r="N8" s="6"/>
      <c r="O8" s="6"/>
      <c r="P8" s="6"/>
      <c r="Q8" s="6"/>
      <c r="R8" s="6"/>
      <c r="S8" s="6"/>
      <c r="T8" s="6"/>
      <c r="U8" s="6"/>
      <c r="V8" s="6"/>
      <c r="W8" s="6"/>
      <c r="X8" s="6"/>
      <c r="Y8" s="6"/>
      <c r="Z8" s="6"/>
    </row>
    <row r="9" spans="1:26" ht="28.5" customHeight="1" x14ac:dyDescent="0.3">
      <c r="A9" s="118" t="s">
        <v>651</v>
      </c>
      <c r="B9" s="118"/>
      <c r="C9" s="118"/>
      <c r="D9" s="92">
        <v>284.7</v>
      </c>
      <c r="E9" s="92">
        <v>335.7</v>
      </c>
      <c r="F9" s="92">
        <f t="shared" si="0"/>
        <v>-51</v>
      </c>
      <c r="G9" s="92">
        <f t="shared" si="1"/>
        <v>-15.192135835567472</v>
      </c>
      <c r="H9" s="6"/>
      <c r="I9" s="6"/>
      <c r="J9" s="6"/>
      <c r="K9" s="6"/>
      <c r="L9" s="6"/>
      <c r="M9" s="6"/>
      <c r="N9" s="6"/>
      <c r="O9" s="6"/>
      <c r="P9" s="6"/>
      <c r="Q9" s="6"/>
      <c r="R9" s="6"/>
      <c r="S9" s="6"/>
      <c r="T9" s="6"/>
      <c r="U9" s="6"/>
      <c r="V9" s="6"/>
      <c r="W9" s="6"/>
      <c r="X9" s="6"/>
      <c r="Y9" s="6"/>
      <c r="Z9" s="6"/>
    </row>
    <row r="10" spans="1:26" ht="28.5" customHeight="1" x14ac:dyDescent="0.3">
      <c r="A10" s="118" t="s">
        <v>652</v>
      </c>
      <c r="B10" s="118"/>
      <c r="C10" s="118"/>
      <c r="D10" s="92">
        <v>781.7</v>
      </c>
      <c r="E10" s="92">
        <v>855.4</v>
      </c>
      <c r="F10" s="92">
        <f t="shared" si="0"/>
        <v>-73.699999999999932</v>
      </c>
      <c r="G10" s="92">
        <f t="shared" si="1"/>
        <v>-8.6158522328735021</v>
      </c>
      <c r="H10" s="6"/>
      <c r="I10" s="6"/>
      <c r="J10" s="6"/>
      <c r="K10" s="6"/>
      <c r="L10" s="6"/>
      <c r="M10" s="6"/>
      <c r="N10" s="6"/>
      <c r="O10" s="6"/>
      <c r="P10" s="6"/>
      <c r="Q10" s="6"/>
      <c r="R10" s="6"/>
      <c r="S10" s="6"/>
      <c r="T10" s="6"/>
      <c r="U10" s="6"/>
      <c r="V10" s="6"/>
      <c r="W10" s="6"/>
      <c r="X10" s="6"/>
      <c r="Y10" s="6"/>
      <c r="Z10" s="6"/>
    </row>
    <row r="11" spans="1:26" ht="28.5" customHeight="1" x14ac:dyDescent="0.3">
      <c r="A11" s="49" t="s">
        <v>653</v>
      </c>
      <c r="B11" s="49" t="s">
        <v>654</v>
      </c>
      <c r="C11" s="49" t="s">
        <v>258</v>
      </c>
      <c r="D11" s="50">
        <v>785.6</v>
      </c>
      <c r="E11" s="50">
        <v>531.70000000000005</v>
      </c>
      <c r="F11" s="50">
        <f t="shared" si="0"/>
        <v>253.89999999999998</v>
      </c>
      <c r="G11" s="50">
        <f t="shared" si="1"/>
        <v>47.752492006770723</v>
      </c>
      <c r="H11" s="6"/>
      <c r="I11" s="6"/>
      <c r="J11" s="6"/>
      <c r="K11" s="6"/>
      <c r="L11" s="6"/>
      <c r="M11" s="6"/>
      <c r="N11" s="6"/>
      <c r="O11" s="6"/>
      <c r="P11" s="6"/>
      <c r="Q11" s="6"/>
      <c r="R11" s="6"/>
      <c r="S11" s="6"/>
      <c r="T11" s="6"/>
      <c r="U11" s="6"/>
      <c r="V11" s="6"/>
      <c r="W11" s="6"/>
      <c r="X11" s="6"/>
      <c r="Y11" s="6"/>
      <c r="Z11" s="6"/>
    </row>
    <row r="12" spans="1:26" ht="28.5" customHeight="1" x14ac:dyDescent="0.3">
      <c r="A12" s="49" t="s">
        <v>655</v>
      </c>
      <c r="B12" s="49" t="s">
        <v>656</v>
      </c>
      <c r="C12" s="49" t="s">
        <v>129</v>
      </c>
      <c r="D12" s="50">
        <v>152.1</v>
      </c>
      <c r="E12" s="50">
        <v>179.3</v>
      </c>
      <c r="F12" s="50">
        <f t="shared" si="0"/>
        <v>-27.200000000000017</v>
      </c>
      <c r="G12" s="50">
        <f t="shared" si="1"/>
        <v>-15.17010596765199</v>
      </c>
      <c r="H12" s="6"/>
      <c r="I12" s="6"/>
      <c r="J12" s="6"/>
      <c r="K12" s="6"/>
      <c r="L12" s="6"/>
      <c r="M12" s="6"/>
      <c r="N12" s="6"/>
      <c r="O12" s="6"/>
      <c r="P12" s="6"/>
      <c r="Q12" s="6"/>
      <c r="R12" s="6"/>
      <c r="S12" s="6"/>
      <c r="T12" s="6"/>
      <c r="U12" s="6"/>
      <c r="V12" s="6"/>
      <c r="W12" s="6"/>
      <c r="X12" s="6"/>
      <c r="Y12" s="6"/>
      <c r="Z12" s="6"/>
    </row>
    <row r="13" spans="1:26" ht="28.5" customHeight="1" x14ac:dyDescent="0.3">
      <c r="A13" s="49" t="s">
        <v>657</v>
      </c>
      <c r="B13" s="49" t="s">
        <v>658</v>
      </c>
      <c r="C13" s="32" t="s">
        <v>89</v>
      </c>
      <c r="D13" s="50">
        <v>65.599999999999994</v>
      </c>
      <c r="E13" s="50">
        <v>104.6</v>
      </c>
      <c r="F13" s="50">
        <f t="shared" si="0"/>
        <v>-39</v>
      </c>
      <c r="G13" s="50">
        <f t="shared" si="1"/>
        <v>-37.284894837476102</v>
      </c>
      <c r="H13" s="6"/>
      <c r="I13" s="6"/>
      <c r="J13" s="6"/>
      <c r="K13" s="6"/>
      <c r="L13" s="6"/>
      <c r="M13" s="6"/>
      <c r="N13" s="6"/>
      <c r="O13" s="6"/>
      <c r="P13" s="6"/>
      <c r="Q13" s="6"/>
      <c r="R13" s="6"/>
      <c r="S13" s="6"/>
      <c r="T13" s="6"/>
      <c r="U13" s="6"/>
      <c r="V13" s="6"/>
      <c r="W13" s="6"/>
      <c r="X13" s="6"/>
      <c r="Y13" s="6"/>
      <c r="Z13" s="6"/>
    </row>
    <row r="14" spans="1:26" ht="28.5" customHeight="1" x14ac:dyDescent="0.3">
      <c r="A14" s="49" t="s">
        <v>659</v>
      </c>
      <c r="B14" s="49" t="s">
        <v>660</v>
      </c>
      <c r="C14" s="49" t="s">
        <v>239</v>
      </c>
      <c r="D14" s="50">
        <v>36.200000000000003</v>
      </c>
      <c r="E14" s="50">
        <v>61.8</v>
      </c>
      <c r="F14" s="50">
        <f t="shared" si="0"/>
        <v>-25.599999999999994</v>
      </c>
      <c r="G14" s="50">
        <f t="shared" si="1"/>
        <v>-41.423948220064716</v>
      </c>
      <c r="H14" s="6"/>
      <c r="I14" s="6"/>
      <c r="J14" s="6"/>
      <c r="K14" s="6"/>
      <c r="L14" s="6"/>
      <c r="M14" s="6"/>
      <c r="N14" s="6"/>
      <c r="O14" s="6"/>
      <c r="P14" s="6"/>
      <c r="Q14" s="6"/>
      <c r="R14" s="6"/>
      <c r="S14" s="6"/>
      <c r="T14" s="6"/>
      <c r="U14" s="6"/>
      <c r="V14" s="6"/>
      <c r="W14" s="6"/>
      <c r="X14" s="6"/>
      <c r="Y14" s="6"/>
      <c r="Z14" s="6"/>
    </row>
    <row r="15" spans="1:26" ht="28.5" customHeight="1" x14ac:dyDescent="0.3">
      <c r="A15" s="49" t="s">
        <v>661</v>
      </c>
      <c r="B15" s="140"/>
      <c r="C15" s="140"/>
      <c r="D15" s="50">
        <v>199.3</v>
      </c>
      <c r="E15" s="50">
        <v>185.6</v>
      </c>
      <c r="F15" s="50">
        <f t="shared" si="0"/>
        <v>13.700000000000017</v>
      </c>
      <c r="G15" s="50">
        <f t="shared" si="1"/>
        <v>7.3814655172413879</v>
      </c>
      <c r="H15" s="6"/>
      <c r="I15" s="6"/>
      <c r="J15" s="6"/>
      <c r="K15" s="6"/>
      <c r="L15" s="6"/>
      <c r="M15" s="6"/>
      <c r="N15" s="6"/>
      <c r="O15" s="6"/>
      <c r="P15" s="6"/>
      <c r="Q15" s="6"/>
      <c r="R15" s="6"/>
      <c r="S15" s="6"/>
      <c r="T15" s="6"/>
      <c r="U15" s="6"/>
      <c r="V15" s="6"/>
      <c r="W15" s="6"/>
      <c r="X15" s="6"/>
      <c r="Y15" s="6"/>
      <c r="Z15" s="6"/>
    </row>
    <row r="16" spans="1:26" ht="28.5" customHeight="1" x14ac:dyDescent="0.3">
      <c r="A16" s="118" t="s">
        <v>662</v>
      </c>
      <c r="B16" s="118"/>
      <c r="C16" s="118"/>
      <c r="D16" s="92">
        <v>1238.8</v>
      </c>
      <c r="E16" s="92">
        <v>1063.0999999999999</v>
      </c>
      <c r="F16" s="92">
        <f t="shared" si="0"/>
        <v>175.70000000000005</v>
      </c>
      <c r="G16" s="92">
        <f t="shared" si="1"/>
        <v>16.527137616404861</v>
      </c>
      <c r="H16" s="6"/>
      <c r="I16" s="6"/>
      <c r="J16" s="6"/>
      <c r="K16" s="6"/>
      <c r="L16" s="6"/>
      <c r="M16" s="6"/>
      <c r="N16" s="6"/>
      <c r="O16" s="6"/>
      <c r="P16" s="6"/>
      <c r="Q16" s="6"/>
      <c r="R16" s="6"/>
      <c r="S16" s="6"/>
      <c r="T16" s="6"/>
      <c r="U16" s="6"/>
      <c r="V16" s="6"/>
      <c r="W16" s="6"/>
      <c r="X16" s="6"/>
      <c r="Y16" s="6"/>
      <c r="Z16" s="6"/>
    </row>
    <row r="17" spans="1:26" ht="28.5" customHeight="1" x14ac:dyDescent="0.3">
      <c r="A17" s="20" t="s">
        <v>663</v>
      </c>
      <c r="B17" s="118"/>
      <c r="C17" s="118"/>
      <c r="D17" s="92">
        <v>783.1</v>
      </c>
      <c r="E17" s="92">
        <v>879.8</v>
      </c>
      <c r="F17" s="92">
        <f t="shared" si="0"/>
        <v>-96.699999999999932</v>
      </c>
      <c r="G17" s="92">
        <f t="shared" si="1"/>
        <v>-10.99113434871561</v>
      </c>
      <c r="H17" s="6"/>
      <c r="I17" s="6"/>
      <c r="J17" s="6"/>
      <c r="K17" s="6"/>
      <c r="L17" s="6"/>
      <c r="M17" s="6"/>
      <c r="N17" s="6"/>
      <c r="O17" s="6"/>
      <c r="P17" s="6"/>
      <c r="Q17" s="6"/>
      <c r="R17" s="6"/>
      <c r="S17" s="6"/>
      <c r="T17" s="6"/>
      <c r="U17" s="6"/>
      <c r="V17" s="6"/>
      <c r="W17" s="6"/>
      <c r="X17" s="6"/>
      <c r="Y17" s="6"/>
      <c r="Z17" s="6"/>
    </row>
    <row r="18" spans="1:26" ht="28.5" customHeight="1" x14ac:dyDescent="0.3">
      <c r="A18" s="118" t="s">
        <v>664</v>
      </c>
      <c r="B18" s="118"/>
      <c r="C18" s="118"/>
      <c r="D18" s="92">
        <v>99.3</v>
      </c>
      <c r="E18" s="92">
        <v>115.9</v>
      </c>
      <c r="F18" s="92">
        <f t="shared" si="0"/>
        <v>-16.600000000000009</v>
      </c>
      <c r="G18" s="92">
        <f t="shared" si="1"/>
        <v>-14.322691975841249</v>
      </c>
      <c r="H18" s="6"/>
      <c r="I18" s="6"/>
      <c r="J18" s="6"/>
      <c r="K18" s="6"/>
      <c r="L18" s="6"/>
      <c r="M18" s="6"/>
      <c r="N18" s="6"/>
      <c r="O18" s="6"/>
      <c r="P18" s="6"/>
      <c r="Q18" s="6"/>
      <c r="R18" s="6"/>
      <c r="S18" s="6"/>
      <c r="T18" s="6"/>
      <c r="U18" s="6"/>
      <c r="V18" s="6"/>
      <c r="W18" s="6"/>
      <c r="X18" s="6"/>
      <c r="Y18" s="6"/>
      <c r="Z18" s="6"/>
    </row>
    <row r="19" spans="1:26" ht="28.5" customHeight="1" x14ac:dyDescent="0.3">
      <c r="A19" s="118" t="s">
        <v>101</v>
      </c>
      <c r="B19" s="118"/>
      <c r="C19" s="118"/>
      <c r="D19" s="92">
        <v>2903</v>
      </c>
      <c r="E19" s="92">
        <v>2914.4</v>
      </c>
      <c r="F19" s="92">
        <f t="shared" si="0"/>
        <v>-11.400000000000091</v>
      </c>
      <c r="G19" s="141">
        <f t="shared" si="1"/>
        <v>-0.39116113093604482</v>
      </c>
      <c r="H19" s="6"/>
      <c r="I19" s="6"/>
      <c r="J19" s="6"/>
      <c r="K19" s="6"/>
      <c r="L19" s="6"/>
      <c r="M19" s="6"/>
      <c r="N19" s="6"/>
      <c r="O19" s="6"/>
      <c r="P19" s="6"/>
      <c r="Q19" s="6"/>
      <c r="R19" s="6"/>
      <c r="S19" s="6"/>
      <c r="T19" s="6"/>
      <c r="U19" s="6"/>
      <c r="V19" s="6"/>
      <c r="W19" s="6"/>
      <c r="X19" s="6"/>
      <c r="Y19" s="6"/>
      <c r="Z19" s="6"/>
    </row>
  </sheetData>
  <pageMargins left="0.7" right="0.7" top="0.75" bottom="0.75" header="0" footer="0"/>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2A5DB0"/>
  </sheetPr>
  <dimension ref="A1:Z30"/>
  <sheetViews>
    <sheetView workbookViewId="0">
      <pane ySplit="1" topLeftCell="A2" activePane="bottomLeft" state="frozen"/>
      <selection pane="bottomLeft"/>
    </sheetView>
  </sheetViews>
  <sheetFormatPr defaultColWidth="14.44140625" defaultRowHeight="15.75" customHeight="1" x14ac:dyDescent="0.25"/>
  <cols>
    <col min="1" max="1" width="26.88671875" customWidth="1"/>
    <col min="2" max="2" width="19.88671875" customWidth="1"/>
    <col min="3" max="3" width="20.44140625" customWidth="1"/>
    <col min="4" max="9" width="16.88671875" customWidth="1"/>
    <col min="10" max="26" width="15.6640625" customWidth="1"/>
  </cols>
  <sheetData>
    <row r="1" spans="1:26" ht="34.5" customHeight="1" x14ac:dyDescent="0.25">
      <c r="A1" s="46" t="s">
        <v>1739</v>
      </c>
      <c r="B1" s="47" t="s">
        <v>10</v>
      </c>
      <c r="C1" s="47" t="s">
        <v>11</v>
      </c>
      <c r="D1" s="48" t="s">
        <v>1678</v>
      </c>
      <c r="E1" s="48" t="s">
        <v>1686</v>
      </c>
      <c r="F1" s="9" t="s">
        <v>1687</v>
      </c>
      <c r="G1" s="48" t="s">
        <v>1678</v>
      </c>
      <c r="H1" s="48" t="s">
        <v>1686</v>
      </c>
      <c r="I1" s="48" t="s">
        <v>1688</v>
      </c>
      <c r="J1" s="47" t="s">
        <v>1682</v>
      </c>
      <c r="K1" s="48" t="s">
        <v>1683</v>
      </c>
      <c r="L1" s="142"/>
      <c r="M1" s="93"/>
      <c r="N1" s="93"/>
      <c r="O1" s="93"/>
      <c r="P1" s="93"/>
      <c r="Q1" s="93"/>
      <c r="R1" s="93"/>
      <c r="S1" s="93"/>
      <c r="T1" s="93"/>
      <c r="U1" s="93"/>
      <c r="V1" s="93"/>
      <c r="W1" s="93"/>
      <c r="X1" s="93"/>
      <c r="Y1" s="93"/>
      <c r="Z1" s="93"/>
    </row>
    <row r="2" spans="1:26" ht="28.5" customHeight="1" x14ac:dyDescent="0.25">
      <c r="A2" s="11" t="s">
        <v>546</v>
      </c>
      <c r="B2" s="11" t="s">
        <v>547</v>
      </c>
      <c r="C2" s="11" t="s">
        <v>201</v>
      </c>
      <c r="D2" s="51">
        <v>3853.9</v>
      </c>
      <c r="E2" s="51">
        <v>1232.2</v>
      </c>
      <c r="F2" s="51">
        <f t="shared" ref="F2:F30" si="0">D2+E2</f>
        <v>5086.1000000000004</v>
      </c>
      <c r="G2" s="51">
        <v>3155.2</v>
      </c>
      <c r="H2" s="51">
        <v>972.7</v>
      </c>
      <c r="I2" s="51">
        <f t="shared" ref="I2:I30" si="1">G2+H2</f>
        <v>4127.8999999999996</v>
      </c>
      <c r="J2" s="51">
        <f t="shared" ref="J2:J30" si="2">F2-I2</f>
        <v>958.20000000000073</v>
      </c>
      <c r="K2" s="51">
        <f t="shared" ref="K2:K17" si="3">(J2/I2)*100</f>
        <v>23.212771627219674</v>
      </c>
      <c r="L2" s="18"/>
      <c r="M2" s="18"/>
      <c r="N2" s="18"/>
      <c r="O2" s="18"/>
      <c r="P2" s="18"/>
      <c r="Q2" s="18"/>
      <c r="R2" s="18"/>
      <c r="S2" s="18"/>
      <c r="T2" s="18"/>
      <c r="U2" s="18"/>
      <c r="V2" s="18"/>
      <c r="W2" s="18"/>
      <c r="X2" s="18"/>
      <c r="Y2" s="18"/>
      <c r="Z2" s="18"/>
    </row>
    <row r="3" spans="1:26" ht="28.5" customHeight="1" x14ac:dyDescent="0.25">
      <c r="A3" s="11" t="s">
        <v>601</v>
      </c>
      <c r="B3" s="11" t="s">
        <v>602</v>
      </c>
      <c r="C3" s="11" t="s">
        <v>201</v>
      </c>
      <c r="D3" s="51">
        <v>1485.9</v>
      </c>
      <c r="E3" s="51">
        <v>1140.3</v>
      </c>
      <c r="F3" s="51">
        <f t="shared" si="0"/>
        <v>2626.2</v>
      </c>
      <c r="G3" s="51">
        <v>1669.7</v>
      </c>
      <c r="H3" s="51">
        <v>1151</v>
      </c>
      <c r="I3" s="51">
        <f t="shared" si="1"/>
        <v>2820.7</v>
      </c>
      <c r="J3" s="51">
        <f t="shared" si="2"/>
        <v>-194.5</v>
      </c>
      <c r="K3" s="51">
        <f t="shared" si="3"/>
        <v>-6.8954514836742655</v>
      </c>
      <c r="L3" s="18"/>
      <c r="M3" s="143"/>
      <c r="N3" s="143"/>
      <c r="O3" s="143"/>
      <c r="P3" s="18"/>
      <c r="Q3" s="18"/>
      <c r="R3" s="18"/>
      <c r="S3" s="18"/>
      <c r="T3" s="18"/>
      <c r="U3" s="18"/>
      <c r="V3" s="18"/>
      <c r="W3" s="18"/>
      <c r="X3" s="18"/>
      <c r="Y3" s="18"/>
      <c r="Z3" s="18"/>
    </row>
    <row r="4" spans="1:26" ht="28.5" customHeight="1" x14ac:dyDescent="0.25">
      <c r="A4" s="11" t="s">
        <v>603</v>
      </c>
      <c r="B4" s="11" t="s">
        <v>604</v>
      </c>
      <c r="C4" s="11" t="s">
        <v>201</v>
      </c>
      <c r="D4" s="51">
        <v>866.4</v>
      </c>
      <c r="E4" s="51">
        <v>393.2</v>
      </c>
      <c r="F4" s="51">
        <f t="shared" si="0"/>
        <v>1259.5999999999999</v>
      </c>
      <c r="G4" s="51">
        <v>879.7</v>
      </c>
      <c r="H4" s="51">
        <v>410.4</v>
      </c>
      <c r="I4" s="51">
        <f t="shared" si="1"/>
        <v>1290.0999999999999</v>
      </c>
      <c r="J4" s="51">
        <f t="shared" si="2"/>
        <v>-30.5</v>
      </c>
      <c r="K4" s="51">
        <f t="shared" si="3"/>
        <v>-2.3641578172234712</v>
      </c>
      <c r="L4" s="18"/>
      <c r="M4" s="18"/>
      <c r="N4" s="18"/>
      <c r="O4" s="18"/>
      <c r="P4" s="18"/>
      <c r="Q4" s="18"/>
      <c r="R4" s="18"/>
      <c r="S4" s="18"/>
      <c r="T4" s="18"/>
      <c r="U4" s="18"/>
      <c r="V4" s="18"/>
      <c r="W4" s="18"/>
      <c r="X4" s="18"/>
      <c r="Y4" s="18"/>
      <c r="Z4" s="18"/>
    </row>
    <row r="5" spans="1:26" ht="28.5" customHeight="1" x14ac:dyDescent="0.25">
      <c r="A5" s="11" t="s">
        <v>605</v>
      </c>
      <c r="B5" s="11" t="s">
        <v>606</v>
      </c>
      <c r="C5" s="11" t="s">
        <v>201</v>
      </c>
      <c r="D5" s="51">
        <v>620.79999999999995</v>
      </c>
      <c r="E5" s="51">
        <v>533</v>
      </c>
      <c r="F5" s="51">
        <f t="shared" si="0"/>
        <v>1153.8</v>
      </c>
      <c r="G5" s="51">
        <v>565.9</v>
      </c>
      <c r="H5" s="51">
        <v>378.3</v>
      </c>
      <c r="I5" s="51">
        <f t="shared" si="1"/>
        <v>944.2</v>
      </c>
      <c r="J5" s="51">
        <f t="shared" si="2"/>
        <v>209.59999999999991</v>
      </c>
      <c r="K5" s="51">
        <f t="shared" si="3"/>
        <v>22.198686718915472</v>
      </c>
      <c r="L5" s="18"/>
      <c r="M5" s="18"/>
      <c r="N5" s="18"/>
      <c r="O5" s="18"/>
      <c r="P5" s="18"/>
      <c r="Q5" s="18"/>
      <c r="R5" s="18"/>
      <c r="S5" s="18"/>
      <c r="T5" s="18"/>
      <c r="U5" s="18"/>
      <c r="V5" s="18"/>
      <c r="W5" s="18"/>
      <c r="X5" s="18"/>
      <c r="Y5" s="18"/>
      <c r="Z5" s="18"/>
    </row>
    <row r="6" spans="1:26" ht="28.5" customHeight="1" x14ac:dyDescent="0.25">
      <c r="A6" s="11" t="s">
        <v>607</v>
      </c>
      <c r="B6" s="11" t="s">
        <v>608</v>
      </c>
      <c r="C6" s="11" t="s">
        <v>201</v>
      </c>
      <c r="D6" s="51">
        <v>842.3</v>
      </c>
      <c r="E6" s="51">
        <v>282.10000000000002</v>
      </c>
      <c r="F6" s="51">
        <f t="shared" si="0"/>
        <v>1124.4000000000001</v>
      </c>
      <c r="G6" s="51">
        <v>876.2</v>
      </c>
      <c r="H6" s="51">
        <v>236.3</v>
      </c>
      <c r="I6" s="51">
        <f t="shared" si="1"/>
        <v>1112.5</v>
      </c>
      <c r="J6" s="51">
        <f t="shared" si="2"/>
        <v>11.900000000000091</v>
      </c>
      <c r="K6" s="51">
        <f t="shared" si="3"/>
        <v>1.0696629213483229</v>
      </c>
      <c r="L6" s="18"/>
      <c r="M6" s="18"/>
      <c r="N6" s="18"/>
      <c r="O6" s="18"/>
      <c r="P6" s="18"/>
      <c r="Q6" s="18"/>
      <c r="R6" s="18"/>
      <c r="S6" s="18"/>
      <c r="T6" s="18"/>
      <c r="U6" s="18"/>
      <c r="V6" s="18"/>
      <c r="W6" s="18"/>
      <c r="X6" s="18"/>
      <c r="Y6" s="18"/>
      <c r="Z6" s="18"/>
    </row>
    <row r="7" spans="1:26" ht="28.5" customHeight="1" x14ac:dyDescent="0.25">
      <c r="A7" s="144" t="s">
        <v>609</v>
      </c>
      <c r="B7" s="144" t="s">
        <v>610</v>
      </c>
      <c r="C7" s="144" t="s">
        <v>201</v>
      </c>
      <c r="D7" s="96">
        <v>95.6</v>
      </c>
      <c r="E7" s="96">
        <v>263</v>
      </c>
      <c r="F7" s="51">
        <f t="shared" si="0"/>
        <v>358.6</v>
      </c>
      <c r="G7" s="96">
        <v>224.8</v>
      </c>
      <c r="H7" s="96">
        <v>365.8</v>
      </c>
      <c r="I7" s="51">
        <f t="shared" si="1"/>
        <v>590.6</v>
      </c>
      <c r="J7" s="51">
        <f t="shared" si="2"/>
        <v>-232</v>
      </c>
      <c r="K7" s="51">
        <f t="shared" si="3"/>
        <v>-39.28208601422282</v>
      </c>
      <c r="L7" s="145"/>
      <c r="M7" s="85"/>
      <c r="N7" s="146"/>
      <c r="O7" s="85"/>
      <c r="P7" s="85"/>
      <c r="Q7" s="85"/>
      <c r="R7" s="85"/>
      <c r="S7" s="85"/>
      <c r="T7" s="85"/>
      <c r="U7" s="85"/>
      <c r="V7" s="85"/>
      <c r="W7" s="85"/>
      <c r="X7" s="85"/>
      <c r="Y7" s="85"/>
      <c r="Z7" s="85"/>
    </row>
    <row r="8" spans="1:26" ht="28.5" customHeight="1" x14ac:dyDescent="0.25">
      <c r="A8" s="11" t="s">
        <v>209</v>
      </c>
      <c r="B8" s="11"/>
      <c r="C8" s="144" t="s">
        <v>201</v>
      </c>
      <c r="D8" s="51">
        <v>162.5</v>
      </c>
      <c r="E8" s="51">
        <v>81.5</v>
      </c>
      <c r="F8" s="51">
        <f t="shared" si="0"/>
        <v>244</v>
      </c>
      <c r="G8" s="51">
        <v>158</v>
      </c>
      <c r="H8" s="51">
        <v>88.1</v>
      </c>
      <c r="I8" s="51">
        <f t="shared" si="1"/>
        <v>246.1</v>
      </c>
      <c r="J8" s="51">
        <f t="shared" si="2"/>
        <v>-2.0999999999999943</v>
      </c>
      <c r="K8" s="51">
        <f t="shared" si="3"/>
        <v>-0.85331166192604402</v>
      </c>
      <c r="L8" s="18"/>
      <c r="M8" s="18"/>
      <c r="N8" s="18"/>
      <c r="O8" s="18"/>
      <c r="P8" s="18"/>
      <c r="Q8" s="18"/>
      <c r="R8" s="18"/>
      <c r="S8" s="18"/>
      <c r="T8" s="18"/>
      <c r="U8" s="18"/>
      <c r="V8" s="18"/>
      <c r="W8" s="18"/>
      <c r="X8" s="18"/>
      <c r="Y8" s="18"/>
      <c r="Z8" s="18"/>
    </row>
    <row r="9" spans="1:26" ht="28.5" customHeight="1" x14ac:dyDescent="0.25">
      <c r="A9" s="26" t="s">
        <v>611</v>
      </c>
      <c r="B9" s="26"/>
      <c r="C9" s="147" t="s">
        <v>201</v>
      </c>
      <c r="D9" s="19">
        <v>7909.1</v>
      </c>
      <c r="E9" s="19">
        <v>3925.3</v>
      </c>
      <c r="F9" s="19">
        <f t="shared" si="0"/>
        <v>11834.400000000001</v>
      </c>
      <c r="G9" s="19">
        <v>7529.5</v>
      </c>
      <c r="H9" s="19">
        <v>3602.6</v>
      </c>
      <c r="I9" s="19">
        <f t="shared" si="1"/>
        <v>11132.1</v>
      </c>
      <c r="J9" s="19">
        <f t="shared" si="2"/>
        <v>702.30000000000109</v>
      </c>
      <c r="K9" s="19">
        <f t="shared" si="3"/>
        <v>6.3087827094618367</v>
      </c>
      <c r="L9" s="18"/>
      <c r="M9" s="18"/>
      <c r="N9" s="18"/>
      <c r="O9" s="18"/>
      <c r="P9" s="18"/>
      <c r="Q9" s="18"/>
      <c r="R9" s="18"/>
      <c r="S9" s="18"/>
      <c r="T9" s="18"/>
      <c r="U9" s="18"/>
      <c r="V9" s="18"/>
      <c r="W9" s="18"/>
      <c r="X9" s="18"/>
      <c r="Y9" s="18"/>
      <c r="Z9" s="18"/>
    </row>
    <row r="10" spans="1:26" ht="28.5" customHeight="1" x14ac:dyDescent="0.25">
      <c r="A10" s="11" t="s">
        <v>612</v>
      </c>
      <c r="B10" s="49" t="s">
        <v>613</v>
      </c>
      <c r="C10" s="11" t="s">
        <v>49</v>
      </c>
      <c r="D10" s="51">
        <v>1265.3</v>
      </c>
      <c r="E10" s="51">
        <v>1064.7</v>
      </c>
      <c r="F10" s="51">
        <f t="shared" si="0"/>
        <v>2330</v>
      </c>
      <c r="G10" s="51">
        <v>1219.5</v>
      </c>
      <c r="H10" s="51">
        <v>896.4</v>
      </c>
      <c r="I10" s="51">
        <f t="shared" si="1"/>
        <v>2115.9</v>
      </c>
      <c r="J10" s="51">
        <f t="shared" si="2"/>
        <v>214.09999999999991</v>
      </c>
      <c r="K10" s="51">
        <f t="shared" si="3"/>
        <v>10.118625643934019</v>
      </c>
      <c r="L10" s="18"/>
      <c r="M10" s="18"/>
      <c r="N10" s="18"/>
      <c r="O10" s="18"/>
      <c r="P10" s="18"/>
      <c r="Q10" s="18"/>
      <c r="R10" s="18"/>
      <c r="S10" s="18"/>
      <c r="T10" s="18"/>
      <c r="U10" s="18"/>
      <c r="V10" s="18"/>
      <c r="W10" s="18"/>
      <c r="X10" s="18"/>
      <c r="Y10" s="18"/>
      <c r="Z10" s="18"/>
    </row>
    <row r="11" spans="1:26" ht="28.5" customHeight="1" x14ac:dyDescent="0.25">
      <c r="A11" s="11" t="s">
        <v>614</v>
      </c>
      <c r="B11" s="11" t="s">
        <v>615</v>
      </c>
      <c r="C11" s="11" t="s">
        <v>49</v>
      </c>
      <c r="D11" s="51">
        <v>381.9</v>
      </c>
      <c r="E11" s="51">
        <v>650.79999999999995</v>
      </c>
      <c r="F11" s="51">
        <f t="shared" si="0"/>
        <v>1032.6999999999998</v>
      </c>
      <c r="G11" s="51">
        <v>335.3</v>
      </c>
      <c r="H11" s="51">
        <v>589.9</v>
      </c>
      <c r="I11" s="51">
        <f t="shared" si="1"/>
        <v>925.2</v>
      </c>
      <c r="J11" s="51">
        <f t="shared" si="2"/>
        <v>107.49999999999977</v>
      </c>
      <c r="K11" s="51">
        <f t="shared" si="3"/>
        <v>11.619109381755271</v>
      </c>
      <c r="L11" s="18"/>
      <c r="M11" s="18"/>
      <c r="N11" s="18"/>
      <c r="O11" s="18"/>
      <c r="P11" s="18"/>
      <c r="Q11" s="18"/>
      <c r="R11" s="18"/>
      <c r="S11" s="18"/>
      <c r="T11" s="18"/>
      <c r="U11" s="18"/>
      <c r="V11" s="18"/>
      <c r="W11" s="18"/>
      <c r="X11" s="18"/>
      <c r="Y11" s="18"/>
      <c r="Z11" s="18"/>
    </row>
    <row r="12" spans="1:26" ht="28.5" customHeight="1" x14ac:dyDescent="0.25">
      <c r="A12" s="24" t="s">
        <v>616</v>
      </c>
      <c r="B12" s="11" t="s">
        <v>617</v>
      </c>
      <c r="C12" s="11" t="s">
        <v>49</v>
      </c>
      <c r="D12" s="51">
        <v>618.20000000000005</v>
      </c>
      <c r="E12" s="51">
        <v>294.39999999999998</v>
      </c>
      <c r="F12" s="51">
        <f t="shared" si="0"/>
        <v>912.6</v>
      </c>
      <c r="G12" s="51">
        <v>454.8</v>
      </c>
      <c r="H12" s="51">
        <v>124.9</v>
      </c>
      <c r="I12" s="51">
        <f t="shared" si="1"/>
        <v>579.70000000000005</v>
      </c>
      <c r="J12" s="51">
        <f t="shared" si="2"/>
        <v>332.9</v>
      </c>
      <c r="K12" s="51">
        <f t="shared" si="3"/>
        <v>57.426254959461787</v>
      </c>
      <c r="L12" s="18"/>
      <c r="M12" s="18"/>
      <c r="N12" s="18"/>
      <c r="O12" s="18"/>
      <c r="P12" s="18"/>
      <c r="Q12" s="18"/>
      <c r="R12" s="18"/>
      <c r="S12" s="18"/>
      <c r="T12" s="18"/>
      <c r="U12" s="18"/>
      <c r="V12" s="18"/>
      <c r="W12" s="18"/>
      <c r="X12" s="18"/>
      <c r="Y12" s="18"/>
      <c r="Z12" s="18"/>
    </row>
    <row r="13" spans="1:26" ht="28.5" customHeight="1" x14ac:dyDescent="0.25">
      <c r="A13" s="11" t="s">
        <v>618</v>
      </c>
      <c r="B13" s="11" t="s">
        <v>619</v>
      </c>
      <c r="C13" s="11" t="s">
        <v>49</v>
      </c>
      <c r="D13" s="51">
        <v>480.1</v>
      </c>
      <c r="E13" s="51">
        <v>56.3</v>
      </c>
      <c r="F13" s="51">
        <f t="shared" si="0"/>
        <v>536.4</v>
      </c>
      <c r="G13" s="51">
        <v>487.9</v>
      </c>
      <c r="H13" s="51">
        <v>55.4</v>
      </c>
      <c r="I13" s="51">
        <f t="shared" si="1"/>
        <v>543.29999999999995</v>
      </c>
      <c r="J13" s="51">
        <f t="shared" si="2"/>
        <v>-6.8999999999999773</v>
      </c>
      <c r="K13" s="51">
        <f t="shared" si="3"/>
        <v>-1.2700165654334581</v>
      </c>
      <c r="L13" s="18"/>
      <c r="M13" s="18"/>
      <c r="N13" s="18"/>
      <c r="O13" s="18"/>
      <c r="P13" s="18"/>
      <c r="Q13" s="18"/>
      <c r="R13" s="18"/>
      <c r="S13" s="18"/>
      <c r="T13" s="18"/>
      <c r="U13" s="18"/>
      <c r="V13" s="18"/>
      <c r="W13" s="18"/>
      <c r="X13" s="18"/>
      <c r="Y13" s="18"/>
      <c r="Z13" s="18"/>
    </row>
    <row r="14" spans="1:26" ht="28.5" customHeight="1" x14ac:dyDescent="0.25">
      <c r="A14" s="11" t="s">
        <v>620</v>
      </c>
      <c r="B14" s="11"/>
      <c r="C14" s="11" t="s">
        <v>49</v>
      </c>
      <c r="D14" s="51">
        <v>46.6</v>
      </c>
      <c r="E14" s="51">
        <v>461</v>
      </c>
      <c r="F14" s="51">
        <f t="shared" si="0"/>
        <v>507.6</v>
      </c>
      <c r="G14" s="51">
        <v>111</v>
      </c>
      <c r="H14" s="51">
        <v>339.3</v>
      </c>
      <c r="I14" s="51">
        <f t="shared" si="1"/>
        <v>450.3</v>
      </c>
      <c r="J14" s="51">
        <f t="shared" si="2"/>
        <v>57.300000000000011</v>
      </c>
      <c r="K14" s="51">
        <f t="shared" si="3"/>
        <v>12.724850099933379</v>
      </c>
      <c r="L14" s="18"/>
      <c r="M14" s="18"/>
      <c r="N14" s="18"/>
      <c r="O14" s="18"/>
      <c r="P14" s="18"/>
      <c r="Q14" s="18"/>
      <c r="R14" s="18"/>
      <c r="S14" s="18"/>
      <c r="T14" s="18"/>
      <c r="U14" s="18"/>
      <c r="V14" s="18"/>
      <c r="W14" s="18"/>
      <c r="X14" s="18"/>
      <c r="Y14" s="18"/>
      <c r="Z14" s="18"/>
    </row>
    <row r="15" spans="1:26" ht="28.5" customHeight="1" x14ac:dyDescent="0.25">
      <c r="A15" s="26" t="s">
        <v>198</v>
      </c>
      <c r="B15" s="26"/>
      <c r="C15" s="147" t="s">
        <v>49</v>
      </c>
      <c r="D15" s="19">
        <v>2792.1</v>
      </c>
      <c r="E15" s="19">
        <v>2527.1999999999998</v>
      </c>
      <c r="F15" s="19">
        <f t="shared" si="0"/>
        <v>5319.2999999999993</v>
      </c>
      <c r="G15" s="19">
        <v>2608.5</v>
      </c>
      <c r="H15" s="19">
        <v>2005.9</v>
      </c>
      <c r="I15" s="19">
        <f t="shared" si="1"/>
        <v>4614.3999999999996</v>
      </c>
      <c r="J15" s="19">
        <f t="shared" si="2"/>
        <v>704.89999999999964</v>
      </c>
      <c r="K15" s="19">
        <f t="shared" si="3"/>
        <v>15.276092233009702</v>
      </c>
      <c r="L15" s="54"/>
      <c r="M15" s="54"/>
      <c r="N15" s="54"/>
      <c r="O15" s="54"/>
      <c r="P15" s="54"/>
      <c r="Q15" s="54"/>
      <c r="R15" s="54"/>
      <c r="S15" s="54"/>
      <c r="T15" s="54"/>
      <c r="U15" s="54"/>
      <c r="V15" s="54"/>
      <c r="W15" s="54"/>
      <c r="X15" s="54"/>
      <c r="Y15" s="54"/>
      <c r="Z15" s="54"/>
    </row>
    <row r="16" spans="1:26" ht="28.5" customHeight="1" x14ac:dyDescent="0.25">
      <c r="A16" s="11" t="s">
        <v>621</v>
      </c>
      <c r="B16" s="11" t="s">
        <v>622</v>
      </c>
      <c r="C16" s="11" t="s">
        <v>43</v>
      </c>
      <c r="D16" s="51">
        <v>1288.5</v>
      </c>
      <c r="E16" s="51">
        <v>500</v>
      </c>
      <c r="F16" s="51">
        <f t="shared" si="0"/>
        <v>1788.5</v>
      </c>
      <c r="G16" s="51">
        <v>1016.8</v>
      </c>
      <c r="H16" s="51">
        <v>349.6</v>
      </c>
      <c r="I16" s="51">
        <f t="shared" si="1"/>
        <v>1366.4</v>
      </c>
      <c r="J16" s="51">
        <f t="shared" si="2"/>
        <v>422.09999999999991</v>
      </c>
      <c r="K16" s="51">
        <f t="shared" si="3"/>
        <v>30.891393442622945</v>
      </c>
      <c r="L16" s="17"/>
      <c r="M16" s="148"/>
      <c r="N16" s="148"/>
      <c r="O16" s="148"/>
      <c r="P16" s="54"/>
      <c r="Q16" s="54"/>
      <c r="R16" s="54"/>
      <c r="S16" s="54"/>
      <c r="T16" s="54"/>
      <c r="U16" s="54"/>
      <c r="V16" s="54"/>
      <c r="W16" s="54"/>
      <c r="X16" s="54"/>
      <c r="Y16" s="54"/>
      <c r="Z16" s="54"/>
    </row>
    <row r="17" spans="1:26" ht="28.5" customHeight="1" x14ac:dyDescent="0.25">
      <c r="A17" s="11" t="s">
        <v>623</v>
      </c>
      <c r="B17" s="11" t="s">
        <v>624</v>
      </c>
      <c r="C17" s="11" t="s">
        <v>43</v>
      </c>
      <c r="D17" s="51">
        <v>63.8</v>
      </c>
      <c r="E17" s="51">
        <v>575</v>
      </c>
      <c r="F17" s="51">
        <f t="shared" si="0"/>
        <v>638.79999999999995</v>
      </c>
      <c r="G17" s="51">
        <v>42.2</v>
      </c>
      <c r="H17" s="51">
        <v>384.7</v>
      </c>
      <c r="I17" s="51">
        <f t="shared" si="1"/>
        <v>426.9</v>
      </c>
      <c r="J17" s="51">
        <f t="shared" si="2"/>
        <v>211.89999999999998</v>
      </c>
      <c r="K17" s="51">
        <f t="shared" si="3"/>
        <v>49.636917310845632</v>
      </c>
      <c r="L17" s="17"/>
      <c r="M17" s="148"/>
      <c r="N17" s="148"/>
      <c r="O17" s="148"/>
      <c r="P17" s="18"/>
      <c r="Q17" s="18"/>
      <c r="R17" s="18"/>
      <c r="S17" s="18"/>
      <c r="T17" s="18"/>
      <c r="U17" s="18"/>
      <c r="V17" s="18"/>
      <c r="W17" s="18"/>
      <c r="X17" s="18"/>
      <c r="Y17" s="18"/>
      <c r="Z17" s="18"/>
    </row>
    <row r="18" spans="1:26" ht="28.5" customHeight="1" x14ac:dyDescent="0.25">
      <c r="A18" s="11" t="s">
        <v>625</v>
      </c>
      <c r="B18" s="11"/>
      <c r="C18" s="11" t="s">
        <v>43</v>
      </c>
      <c r="D18" s="51">
        <v>20</v>
      </c>
      <c r="E18" s="51">
        <v>14.6</v>
      </c>
      <c r="F18" s="51">
        <f t="shared" si="0"/>
        <v>34.6</v>
      </c>
      <c r="G18" s="51">
        <v>0</v>
      </c>
      <c r="H18" s="51">
        <v>0</v>
      </c>
      <c r="I18" s="51">
        <f t="shared" si="1"/>
        <v>0</v>
      </c>
      <c r="J18" s="51">
        <f t="shared" si="2"/>
        <v>34.6</v>
      </c>
      <c r="K18" s="51">
        <v>100</v>
      </c>
      <c r="L18" s="17"/>
      <c r="M18" s="148"/>
      <c r="N18" s="148"/>
      <c r="O18" s="148"/>
      <c r="P18" s="18"/>
      <c r="Q18" s="18"/>
      <c r="R18" s="18"/>
      <c r="S18" s="18"/>
      <c r="T18" s="18"/>
      <c r="U18" s="18"/>
      <c r="V18" s="18"/>
      <c r="W18" s="18"/>
      <c r="X18" s="18"/>
      <c r="Y18" s="18"/>
      <c r="Z18" s="18"/>
    </row>
    <row r="19" spans="1:26" ht="28.5" customHeight="1" x14ac:dyDescent="0.25">
      <c r="A19" s="26" t="s">
        <v>626</v>
      </c>
      <c r="B19" s="26"/>
      <c r="C19" s="147" t="s">
        <v>43</v>
      </c>
      <c r="D19" s="19">
        <v>1372.3</v>
      </c>
      <c r="E19" s="19">
        <v>1089.5999999999999</v>
      </c>
      <c r="F19" s="19">
        <f t="shared" si="0"/>
        <v>2461.8999999999996</v>
      </c>
      <c r="G19" s="19">
        <v>1059</v>
      </c>
      <c r="H19" s="19">
        <v>734.3</v>
      </c>
      <c r="I19" s="19">
        <f t="shared" si="1"/>
        <v>1793.3</v>
      </c>
      <c r="J19" s="19">
        <f t="shared" si="2"/>
        <v>668.59999999999968</v>
      </c>
      <c r="K19" s="19">
        <f t="shared" ref="K19:K25" si="4">(J19/I19)*100</f>
        <v>37.283220877711464</v>
      </c>
      <c r="L19" s="17"/>
      <c r="M19" s="148"/>
      <c r="N19" s="148"/>
      <c r="O19" s="148"/>
      <c r="P19" s="54"/>
      <c r="Q19" s="54"/>
      <c r="R19" s="54"/>
      <c r="S19" s="54"/>
      <c r="T19" s="54"/>
      <c r="U19" s="54"/>
      <c r="V19" s="54"/>
      <c r="W19" s="54"/>
      <c r="X19" s="54"/>
      <c r="Y19" s="54"/>
      <c r="Z19" s="54"/>
    </row>
    <row r="20" spans="1:26" ht="28.5" customHeight="1" x14ac:dyDescent="0.25">
      <c r="A20" s="11" t="s">
        <v>627</v>
      </c>
      <c r="B20" s="11" t="s">
        <v>628</v>
      </c>
      <c r="C20" s="11" t="s">
        <v>62</v>
      </c>
      <c r="D20" s="51">
        <v>42.1</v>
      </c>
      <c r="E20" s="51">
        <v>725.6</v>
      </c>
      <c r="F20" s="51">
        <f t="shared" si="0"/>
        <v>767.7</v>
      </c>
      <c r="G20" s="51">
        <v>49.6</v>
      </c>
      <c r="H20" s="51">
        <v>675.8</v>
      </c>
      <c r="I20" s="51">
        <f t="shared" si="1"/>
        <v>725.4</v>
      </c>
      <c r="J20" s="51">
        <f t="shared" si="2"/>
        <v>42.300000000000068</v>
      </c>
      <c r="K20" s="51">
        <f t="shared" si="4"/>
        <v>5.831265508684873</v>
      </c>
      <c r="L20" s="18"/>
      <c r="M20" s="149"/>
      <c r="N20" s="149"/>
      <c r="O20" s="149"/>
      <c r="P20" s="18"/>
      <c r="Q20" s="18"/>
      <c r="R20" s="18"/>
      <c r="S20" s="18"/>
      <c r="T20" s="18"/>
      <c r="U20" s="18"/>
      <c r="V20" s="18"/>
      <c r="W20" s="18"/>
      <c r="X20" s="18"/>
      <c r="Y20" s="18"/>
      <c r="Z20" s="18"/>
    </row>
    <row r="21" spans="1:26" ht="28.5" customHeight="1" x14ac:dyDescent="0.25">
      <c r="A21" s="11" t="s">
        <v>629</v>
      </c>
      <c r="B21" s="11" t="s">
        <v>630</v>
      </c>
      <c r="C21" s="11" t="s">
        <v>62</v>
      </c>
      <c r="D21" s="51">
        <v>46.1</v>
      </c>
      <c r="E21" s="51">
        <v>360.5</v>
      </c>
      <c r="F21" s="51">
        <f t="shared" si="0"/>
        <v>406.6</v>
      </c>
      <c r="G21" s="51">
        <v>41</v>
      </c>
      <c r="H21" s="51">
        <v>377.6</v>
      </c>
      <c r="I21" s="51">
        <f t="shared" si="1"/>
        <v>418.6</v>
      </c>
      <c r="J21" s="51">
        <f t="shared" si="2"/>
        <v>-12</v>
      </c>
      <c r="K21" s="51">
        <f t="shared" si="4"/>
        <v>-2.8666985188724317</v>
      </c>
      <c r="L21" s="18"/>
      <c r="M21" s="18"/>
      <c r="N21" s="18"/>
      <c r="O21" s="18"/>
      <c r="P21" s="18"/>
      <c r="Q21" s="18"/>
      <c r="R21" s="18"/>
      <c r="S21" s="18"/>
      <c r="T21" s="18"/>
      <c r="U21" s="18"/>
      <c r="V21" s="18"/>
      <c r="W21" s="18"/>
      <c r="X21" s="18"/>
      <c r="Y21" s="18"/>
      <c r="Z21" s="18"/>
    </row>
    <row r="22" spans="1:26" ht="28.5" customHeight="1" x14ac:dyDescent="0.25">
      <c r="A22" s="24" t="s">
        <v>631</v>
      </c>
      <c r="B22" s="11" t="s">
        <v>632</v>
      </c>
      <c r="C22" s="11" t="s">
        <v>62</v>
      </c>
      <c r="D22" s="51">
        <v>325.89999999999998</v>
      </c>
      <c r="E22" s="51">
        <v>37</v>
      </c>
      <c r="F22" s="51">
        <f t="shared" si="0"/>
        <v>362.9</v>
      </c>
      <c r="G22" s="51">
        <v>154.9</v>
      </c>
      <c r="H22" s="51">
        <v>7.7</v>
      </c>
      <c r="I22" s="51">
        <f t="shared" si="1"/>
        <v>162.6</v>
      </c>
      <c r="J22" s="51">
        <f t="shared" si="2"/>
        <v>200.29999999999998</v>
      </c>
      <c r="K22" s="51">
        <f t="shared" si="4"/>
        <v>123.18573185731856</v>
      </c>
      <c r="L22" s="18"/>
      <c r="M22" s="149"/>
      <c r="N22" s="149"/>
      <c r="O22" s="149"/>
      <c r="P22" s="18"/>
      <c r="Q22" s="18"/>
      <c r="R22" s="18"/>
      <c r="S22" s="18"/>
      <c r="T22" s="18"/>
      <c r="U22" s="18"/>
      <c r="V22" s="18"/>
      <c r="W22" s="18"/>
      <c r="X22" s="18"/>
      <c r="Y22" s="18"/>
      <c r="Z22" s="18"/>
    </row>
    <row r="23" spans="1:26" ht="28.5" customHeight="1" x14ac:dyDescent="0.25">
      <c r="A23" s="11" t="s">
        <v>68</v>
      </c>
      <c r="B23" s="11"/>
      <c r="C23" s="11" t="s">
        <v>62</v>
      </c>
      <c r="D23" s="51">
        <v>73.2</v>
      </c>
      <c r="E23" s="51">
        <v>220.9</v>
      </c>
      <c r="F23" s="51">
        <f t="shared" si="0"/>
        <v>294.10000000000002</v>
      </c>
      <c r="G23" s="51">
        <v>111</v>
      </c>
      <c r="H23" s="51">
        <v>305.60000000000002</v>
      </c>
      <c r="I23" s="51">
        <f t="shared" si="1"/>
        <v>416.6</v>
      </c>
      <c r="J23" s="51">
        <f t="shared" si="2"/>
        <v>-122.5</v>
      </c>
      <c r="K23" s="51">
        <f t="shared" si="4"/>
        <v>-29.404704752760441</v>
      </c>
      <c r="L23" s="17"/>
      <c r="M23" s="150"/>
      <c r="N23" s="150"/>
      <c r="O23" s="150"/>
      <c r="P23" s="18"/>
      <c r="Q23" s="18"/>
      <c r="R23" s="18"/>
      <c r="S23" s="18"/>
      <c r="T23" s="18"/>
      <c r="U23" s="18"/>
      <c r="V23" s="18"/>
      <c r="W23" s="18"/>
      <c r="X23" s="18"/>
      <c r="Y23" s="18"/>
      <c r="Z23" s="18"/>
    </row>
    <row r="24" spans="1:26" ht="28.5" customHeight="1" x14ac:dyDescent="0.25">
      <c r="A24" s="26" t="s">
        <v>633</v>
      </c>
      <c r="B24" s="26"/>
      <c r="C24" s="147" t="s">
        <v>62</v>
      </c>
      <c r="D24" s="19">
        <v>487.3</v>
      </c>
      <c r="E24" s="19">
        <v>1344</v>
      </c>
      <c r="F24" s="19">
        <f t="shared" si="0"/>
        <v>1831.3</v>
      </c>
      <c r="G24" s="19">
        <v>356.5</v>
      </c>
      <c r="H24" s="19">
        <v>1366.4</v>
      </c>
      <c r="I24" s="19">
        <f t="shared" si="1"/>
        <v>1722.9</v>
      </c>
      <c r="J24" s="19">
        <f t="shared" si="2"/>
        <v>108.39999999999986</v>
      </c>
      <c r="K24" s="19">
        <f t="shared" si="4"/>
        <v>6.2917174531313407</v>
      </c>
      <c r="L24" s="17"/>
      <c r="M24" s="148"/>
      <c r="N24" s="148"/>
      <c r="O24" s="148"/>
      <c r="P24" s="54"/>
      <c r="Q24" s="54"/>
      <c r="R24" s="54"/>
      <c r="S24" s="54"/>
      <c r="T24" s="54"/>
      <c r="U24" s="54"/>
      <c r="V24" s="54"/>
      <c r="W24" s="54"/>
      <c r="X24" s="54"/>
      <c r="Y24" s="54"/>
      <c r="Z24" s="54"/>
    </row>
    <row r="25" spans="1:26" ht="28.5" customHeight="1" x14ac:dyDescent="0.25">
      <c r="A25" s="11" t="s">
        <v>634</v>
      </c>
      <c r="B25" s="11" t="s">
        <v>635</v>
      </c>
      <c r="C25" s="11" t="s">
        <v>126</v>
      </c>
      <c r="D25" s="51">
        <v>510.3</v>
      </c>
      <c r="E25" s="51">
        <v>536</v>
      </c>
      <c r="F25" s="51">
        <f t="shared" si="0"/>
        <v>1046.3</v>
      </c>
      <c r="G25" s="51">
        <v>645.5</v>
      </c>
      <c r="H25" s="51">
        <v>759.1</v>
      </c>
      <c r="I25" s="51">
        <f t="shared" si="1"/>
        <v>1404.6</v>
      </c>
      <c r="J25" s="51">
        <f t="shared" si="2"/>
        <v>-358.29999999999995</v>
      </c>
      <c r="K25" s="51">
        <f t="shared" si="4"/>
        <v>-25.509041720062648</v>
      </c>
      <c r="L25" s="18"/>
      <c r="M25" s="18"/>
      <c r="N25" s="18"/>
      <c r="O25" s="18"/>
      <c r="P25" s="18"/>
      <c r="Q25" s="18"/>
      <c r="R25" s="18"/>
      <c r="S25" s="18"/>
      <c r="T25" s="18"/>
      <c r="U25" s="18"/>
      <c r="V25" s="18"/>
      <c r="W25" s="18"/>
      <c r="X25" s="18"/>
      <c r="Y25" s="18"/>
      <c r="Z25" s="18"/>
    </row>
    <row r="26" spans="1:26" ht="28.5" customHeight="1" x14ac:dyDescent="0.25">
      <c r="A26" s="11" t="s">
        <v>636</v>
      </c>
      <c r="B26" s="11" t="s">
        <v>636</v>
      </c>
      <c r="C26" s="36" t="s">
        <v>89</v>
      </c>
      <c r="D26" s="51">
        <v>850</v>
      </c>
      <c r="E26" s="51">
        <v>21.2</v>
      </c>
      <c r="F26" s="51">
        <f t="shared" si="0"/>
        <v>871.2</v>
      </c>
      <c r="G26" s="51">
        <v>0</v>
      </c>
      <c r="H26" s="51">
        <v>0</v>
      </c>
      <c r="I26" s="51">
        <f t="shared" si="1"/>
        <v>0</v>
      </c>
      <c r="J26" s="51">
        <f t="shared" si="2"/>
        <v>871.2</v>
      </c>
      <c r="K26" s="51" t="s">
        <v>67</v>
      </c>
      <c r="L26" s="18"/>
      <c r="M26" s="18"/>
      <c r="N26" s="18"/>
      <c r="O26" s="18"/>
      <c r="P26" s="18"/>
      <c r="Q26" s="18"/>
      <c r="R26" s="18"/>
      <c r="S26" s="18"/>
      <c r="T26" s="18"/>
      <c r="U26" s="18"/>
      <c r="V26" s="18"/>
      <c r="W26" s="18"/>
      <c r="X26" s="18"/>
      <c r="Y26" s="18"/>
      <c r="Z26" s="18"/>
    </row>
    <row r="27" spans="1:26" ht="28.5" customHeight="1" x14ac:dyDescent="0.25">
      <c r="A27" s="11" t="s">
        <v>637</v>
      </c>
      <c r="B27" s="11" t="s">
        <v>638</v>
      </c>
      <c r="C27" s="11" t="s">
        <v>81</v>
      </c>
      <c r="D27" s="51">
        <v>61.8</v>
      </c>
      <c r="E27" s="51">
        <v>545.4</v>
      </c>
      <c r="F27" s="51">
        <f t="shared" si="0"/>
        <v>607.19999999999993</v>
      </c>
      <c r="G27" s="51">
        <v>231.7</v>
      </c>
      <c r="H27" s="51">
        <v>658.8</v>
      </c>
      <c r="I27" s="51">
        <f t="shared" si="1"/>
        <v>890.5</v>
      </c>
      <c r="J27" s="51">
        <f t="shared" si="2"/>
        <v>-283.30000000000007</v>
      </c>
      <c r="K27" s="51">
        <f t="shared" ref="K27:K30" si="5">(J27/I27)*100</f>
        <v>-31.81358787198204</v>
      </c>
      <c r="L27" s="18"/>
      <c r="M27" s="18"/>
      <c r="N27" s="18"/>
      <c r="O27" s="18"/>
      <c r="P27" s="18"/>
      <c r="Q27" s="18"/>
      <c r="R27" s="18"/>
      <c r="S27" s="18"/>
      <c r="T27" s="18"/>
      <c r="U27" s="18"/>
      <c r="V27" s="18"/>
      <c r="W27" s="18"/>
      <c r="X27" s="18"/>
      <c r="Y27" s="18"/>
      <c r="Z27" s="18"/>
    </row>
    <row r="28" spans="1:26" ht="28.5" customHeight="1" x14ac:dyDescent="0.25">
      <c r="A28" s="11" t="s">
        <v>639</v>
      </c>
      <c r="B28" s="11"/>
      <c r="C28" s="11"/>
      <c r="D28" s="51">
        <v>246.4</v>
      </c>
      <c r="E28" s="51">
        <v>321.8</v>
      </c>
      <c r="F28" s="51">
        <f t="shared" si="0"/>
        <v>568.20000000000005</v>
      </c>
      <c r="G28" s="51">
        <v>291.89999999999998</v>
      </c>
      <c r="H28" s="51">
        <v>469.7</v>
      </c>
      <c r="I28" s="51">
        <f t="shared" si="1"/>
        <v>761.59999999999991</v>
      </c>
      <c r="J28" s="51">
        <f t="shared" si="2"/>
        <v>-193.39999999999986</v>
      </c>
      <c r="K28" s="51">
        <f t="shared" si="5"/>
        <v>-25.393907563025198</v>
      </c>
      <c r="L28" s="18"/>
      <c r="M28" s="18"/>
      <c r="N28" s="18"/>
      <c r="O28" s="18"/>
      <c r="P28" s="18"/>
      <c r="Q28" s="18"/>
      <c r="R28" s="18"/>
      <c r="S28" s="18"/>
      <c r="T28" s="18"/>
      <c r="U28" s="18"/>
      <c r="V28" s="18"/>
      <c r="W28" s="18"/>
      <c r="X28" s="18"/>
      <c r="Y28" s="18"/>
      <c r="Z28" s="18"/>
    </row>
    <row r="29" spans="1:26" ht="28.5" customHeight="1" x14ac:dyDescent="0.25">
      <c r="A29" s="26" t="s">
        <v>640</v>
      </c>
      <c r="B29" s="26"/>
      <c r="C29" s="26"/>
      <c r="D29" s="19">
        <v>1668.4</v>
      </c>
      <c r="E29" s="19">
        <v>1424.8</v>
      </c>
      <c r="F29" s="19">
        <f t="shared" si="0"/>
        <v>3093.2</v>
      </c>
      <c r="G29" s="19">
        <v>1169.0999999999999</v>
      </c>
      <c r="H29" s="19">
        <v>1887.7</v>
      </c>
      <c r="I29" s="19">
        <f t="shared" si="1"/>
        <v>3056.8</v>
      </c>
      <c r="J29" s="19">
        <f t="shared" si="2"/>
        <v>36.399999999999636</v>
      </c>
      <c r="K29" s="19">
        <f t="shared" si="5"/>
        <v>1.1907877518973971</v>
      </c>
      <c r="L29" s="54"/>
      <c r="M29" s="54"/>
      <c r="N29" s="54"/>
      <c r="O29" s="54"/>
      <c r="P29" s="54"/>
      <c r="Q29" s="54"/>
      <c r="R29" s="54"/>
      <c r="S29" s="54"/>
      <c r="T29" s="54"/>
      <c r="U29" s="54"/>
      <c r="V29" s="54"/>
      <c r="W29" s="54"/>
      <c r="X29" s="54"/>
      <c r="Y29" s="54"/>
      <c r="Z29" s="54"/>
    </row>
    <row r="30" spans="1:26" ht="28.5" customHeight="1" x14ac:dyDescent="0.25">
      <c r="A30" s="26" t="s">
        <v>101</v>
      </c>
      <c r="B30" s="26"/>
      <c r="C30" s="26"/>
      <c r="D30" s="19">
        <v>14229.3</v>
      </c>
      <c r="E30" s="19">
        <v>10310.5</v>
      </c>
      <c r="F30" s="19">
        <f t="shared" si="0"/>
        <v>24539.8</v>
      </c>
      <c r="G30" s="19">
        <v>12722.6</v>
      </c>
      <c r="H30" s="19">
        <v>9596.7999999999993</v>
      </c>
      <c r="I30" s="19">
        <f t="shared" si="1"/>
        <v>22319.4</v>
      </c>
      <c r="J30" s="19">
        <f t="shared" si="2"/>
        <v>2220.3999999999978</v>
      </c>
      <c r="K30" s="19">
        <f t="shared" si="5"/>
        <v>9.948296101149662</v>
      </c>
      <c r="L30" s="54"/>
      <c r="M30" s="54"/>
      <c r="N30" s="54"/>
      <c r="O30" s="54"/>
      <c r="P30" s="54"/>
      <c r="Q30" s="54"/>
      <c r="R30" s="54"/>
      <c r="S30" s="54"/>
      <c r="T30" s="54"/>
      <c r="U30" s="54"/>
      <c r="V30" s="54"/>
      <c r="W30" s="54"/>
      <c r="X30" s="54"/>
      <c r="Y30" s="54"/>
      <c r="Z30" s="54"/>
    </row>
  </sheetData>
  <pageMargins left="0.7" right="0.7" top="0.75" bottom="0.75" header="0" footer="0"/>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2A5DB0"/>
  </sheetPr>
  <dimension ref="A1:Y6"/>
  <sheetViews>
    <sheetView workbookViewId="0">
      <pane ySplit="1" topLeftCell="A2" activePane="bottomLeft" state="frozen"/>
      <selection pane="bottomLeft"/>
    </sheetView>
  </sheetViews>
  <sheetFormatPr defaultColWidth="14.44140625" defaultRowHeight="15.75" customHeight="1" x14ac:dyDescent="0.25"/>
  <cols>
    <col min="1" max="1" width="36.88671875" customWidth="1"/>
    <col min="2" max="3" width="19.88671875" customWidth="1"/>
    <col min="4" max="5" width="15.6640625" customWidth="1"/>
    <col min="6" max="25" width="9.109375" customWidth="1"/>
  </cols>
  <sheetData>
    <row r="1" spans="1:25" ht="34.5" customHeight="1" x14ac:dyDescent="0.25">
      <c r="A1" s="46" t="s">
        <v>1740</v>
      </c>
      <c r="B1" s="8" t="s">
        <v>1687</v>
      </c>
      <c r="C1" s="47" t="s">
        <v>1688</v>
      </c>
      <c r="D1" s="47" t="s">
        <v>1682</v>
      </c>
      <c r="E1" s="47" t="s">
        <v>1683</v>
      </c>
      <c r="F1" s="18"/>
      <c r="G1" s="18"/>
      <c r="H1" s="18"/>
      <c r="I1" s="18"/>
      <c r="J1" s="18"/>
      <c r="K1" s="18"/>
      <c r="L1" s="18"/>
      <c r="M1" s="18"/>
      <c r="N1" s="18"/>
      <c r="O1" s="18"/>
      <c r="P1" s="18"/>
      <c r="Q1" s="18"/>
      <c r="R1" s="18"/>
      <c r="S1" s="18"/>
      <c r="T1" s="18"/>
      <c r="U1" s="18"/>
      <c r="V1" s="18"/>
      <c r="W1" s="18"/>
      <c r="X1" s="18"/>
      <c r="Y1" s="18"/>
    </row>
    <row r="2" spans="1:25" ht="28.5" customHeight="1" x14ac:dyDescent="0.25">
      <c r="A2" s="11" t="s">
        <v>1741</v>
      </c>
      <c r="B2" s="51">
        <v>17859</v>
      </c>
      <c r="C2" s="51">
        <v>17477</v>
      </c>
      <c r="D2" s="51">
        <f t="shared" ref="D2:D6" si="0">(B2-C2)</f>
        <v>382</v>
      </c>
      <c r="E2" s="51">
        <f t="shared" ref="E2:E6" si="1">(D2/C2)*100</f>
        <v>2.185729816330034</v>
      </c>
      <c r="F2" s="18"/>
      <c r="G2" s="18"/>
      <c r="H2" s="18"/>
      <c r="I2" s="18"/>
      <c r="J2" s="18"/>
      <c r="K2" s="18"/>
      <c r="L2" s="18"/>
      <c r="M2" s="18"/>
      <c r="N2" s="18"/>
      <c r="O2" s="18"/>
      <c r="P2" s="18"/>
      <c r="Q2" s="18"/>
      <c r="R2" s="18"/>
      <c r="S2" s="18"/>
      <c r="T2" s="18"/>
      <c r="U2" s="18"/>
      <c r="V2" s="18"/>
      <c r="W2" s="18"/>
      <c r="X2" s="18"/>
      <c r="Y2" s="18"/>
    </row>
    <row r="3" spans="1:25" ht="28.5" customHeight="1" x14ac:dyDescent="0.25">
      <c r="A3" s="11" t="s">
        <v>1673</v>
      </c>
      <c r="B3" s="51">
        <v>6976</v>
      </c>
      <c r="C3" s="51">
        <v>6919</v>
      </c>
      <c r="D3" s="51">
        <f t="shared" si="0"/>
        <v>57</v>
      </c>
      <c r="E3" s="51">
        <f t="shared" si="1"/>
        <v>0.82381847087729443</v>
      </c>
      <c r="F3" s="18"/>
      <c r="G3" s="18"/>
      <c r="H3" s="18"/>
      <c r="I3" s="18"/>
      <c r="J3" s="18"/>
      <c r="K3" s="18"/>
      <c r="L3" s="18"/>
      <c r="M3" s="18"/>
      <c r="N3" s="18"/>
      <c r="O3" s="18"/>
      <c r="P3" s="18"/>
      <c r="Q3" s="18"/>
      <c r="R3" s="18"/>
      <c r="S3" s="18"/>
      <c r="T3" s="18"/>
      <c r="U3" s="18"/>
      <c r="V3" s="18"/>
      <c r="W3" s="18"/>
      <c r="X3" s="18"/>
      <c r="Y3" s="18"/>
    </row>
    <row r="4" spans="1:25" ht="28.5" customHeight="1" x14ac:dyDescent="0.25">
      <c r="A4" s="11" t="s">
        <v>1742</v>
      </c>
      <c r="B4" s="51">
        <v>9818</v>
      </c>
      <c r="C4" s="51">
        <v>9234</v>
      </c>
      <c r="D4" s="51">
        <f t="shared" si="0"/>
        <v>584</v>
      </c>
      <c r="E4" s="51">
        <f t="shared" si="1"/>
        <v>6.3244531080788393</v>
      </c>
      <c r="F4" s="18"/>
      <c r="G4" s="18"/>
      <c r="H4" s="18"/>
      <c r="I4" s="18"/>
      <c r="J4" s="18"/>
      <c r="K4" s="18"/>
      <c r="L4" s="18"/>
      <c r="M4" s="18"/>
      <c r="N4" s="18"/>
      <c r="O4" s="18"/>
      <c r="P4" s="18"/>
      <c r="Q4" s="18"/>
      <c r="R4" s="18"/>
      <c r="S4" s="18"/>
      <c r="T4" s="18"/>
      <c r="U4" s="18"/>
      <c r="V4" s="18"/>
      <c r="W4" s="18"/>
      <c r="X4" s="18"/>
      <c r="Y4" s="18"/>
    </row>
    <row r="5" spans="1:25" ht="28.5" customHeight="1" x14ac:dyDescent="0.25">
      <c r="A5" s="11" t="s">
        <v>1743</v>
      </c>
      <c r="B5" s="51">
        <v>2068</v>
      </c>
      <c r="C5" s="51">
        <v>2206</v>
      </c>
      <c r="D5" s="51">
        <f t="shared" si="0"/>
        <v>-138</v>
      </c>
      <c r="E5" s="51">
        <f t="shared" si="1"/>
        <v>-6.2556663644605619</v>
      </c>
      <c r="F5" s="18"/>
      <c r="G5" s="18"/>
      <c r="H5" s="18"/>
      <c r="I5" s="18"/>
      <c r="J5" s="18"/>
      <c r="K5" s="18"/>
      <c r="L5" s="18"/>
      <c r="M5" s="18"/>
      <c r="N5" s="18"/>
      <c r="O5" s="18"/>
      <c r="P5" s="18"/>
      <c r="Q5" s="18"/>
      <c r="R5" s="18"/>
      <c r="S5" s="18"/>
      <c r="T5" s="18"/>
      <c r="U5" s="18"/>
      <c r="V5" s="18"/>
      <c r="W5" s="18"/>
      <c r="X5" s="18"/>
      <c r="Y5" s="18"/>
    </row>
    <row r="6" spans="1:25" ht="28.5" customHeight="1" x14ac:dyDescent="0.25">
      <c r="A6" s="26" t="s">
        <v>101</v>
      </c>
      <c r="B6" s="19">
        <v>36277</v>
      </c>
      <c r="C6" s="19">
        <v>35409</v>
      </c>
      <c r="D6" s="19">
        <f t="shared" si="0"/>
        <v>868</v>
      </c>
      <c r="E6" s="19">
        <f t="shared" si="1"/>
        <v>2.4513541754921064</v>
      </c>
      <c r="F6" s="18"/>
      <c r="G6" s="18"/>
      <c r="H6" s="18"/>
      <c r="I6" s="18"/>
      <c r="J6" s="18"/>
      <c r="K6" s="18"/>
      <c r="L6" s="18"/>
      <c r="M6" s="18"/>
      <c r="N6" s="18"/>
      <c r="O6" s="18"/>
      <c r="P6" s="18"/>
      <c r="Q6" s="18"/>
      <c r="R6" s="18"/>
      <c r="S6" s="18"/>
      <c r="T6" s="18"/>
      <c r="U6" s="18"/>
      <c r="V6" s="18"/>
      <c r="W6" s="18"/>
      <c r="X6" s="18"/>
      <c r="Y6" s="18"/>
    </row>
  </sheetData>
  <pageMargins left="0.7" right="0.7" top="0.75" bottom="0.75" header="0" footer="0"/>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2A5DB0"/>
  </sheetPr>
  <dimension ref="A1:Z35"/>
  <sheetViews>
    <sheetView workbookViewId="0">
      <pane ySplit="1" topLeftCell="A2" activePane="bottomLeft" state="frozen"/>
      <selection pane="bottomLeft"/>
    </sheetView>
  </sheetViews>
  <sheetFormatPr defaultColWidth="14.44140625" defaultRowHeight="15.75" customHeight="1" x14ac:dyDescent="0.25"/>
  <cols>
    <col min="1" max="1" width="25.6640625" customWidth="1"/>
    <col min="2" max="2" width="27.5546875" customWidth="1"/>
    <col min="3" max="3" width="21.88671875" customWidth="1"/>
    <col min="4" max="4" width="13.6640625" customWidth="1"/>
    <col min="5" max="5" width="11.5546875" customWidth="1"/>
    <col min="6" max="8" width="13.6640625" customWidth="1"/>
    <col min="9" max="9" width="12.33203125" customWidth="1"/>
    <col min="10" max="10" width="13.6640625" customWidth="1"/>
    <col min="11" max="11" width="12.6640625" customWidth="1"/>
    <col min="12" max="12" width="13" customWidth="1"/>
    <col min="13" max="13" width="12" customWidth="1"/>
    <col min="14" max="26" width="31" customWidth="1"/>
  </cols>
  <sheetData>
    <row r="1" spans="1:26" ht="34.5" customHeight="1" x14ac:dyDescent="0.25">
      <c r="A1" s="28" t="s">
        <v>1744</v>
      </c>
      <c r="B1" s="8" t="s">
        <v>10</v>
      </c>
      <c r="C1" s="8" t="s">
        <v>11</v>
      </c>
      <c r="D1" s="8" t="s">
        <v>1678</v>
      </c>
      <c r="E1" s="8" t="s">
        <v>1704</v>
      </c>
      <c r="F1" s="8" t="s">
        <v>1686</v>
      </c>
      <c r="G1" s="8" t="s">
        <v>1687</v>
      </c>
      <c r="H1" s="8" t="s">
        <v>1678</v>
      </c>
      <c r="I1" s="8" t="s">
        <v>1704</v>
      </c>
      <c r="J1" s="8" t="s">
        <v>1686</v>
      </c>
      <c r="K1" s="8" t="s">
        <v>1688</v>
      </c>
      <c r="L1" s="8" t="s">
        <v>1682</v>
      </c>
      <c r="M1" s="8" t="s">
        <v>1683</v>
      </c>
      <c r="N1" s="10"/>
      <c r="O1" s="10"/>
      <c r="P1" s="10"/>
      <c r="Q1" s="10"/>
      <c r="R1" s="10"/>
      <c r="S1" s="10"/>
      <c r="T1" s="10"/>
      <c r="U1" s="10"/>
      <c r="V1" s="10"/>
      <c r="W1" s="10"/>
      <c r="X1" s="10"/>
      <c r="Y1" s="10"/>
      <c r="Z1" s="10"/>
    </row>
    <row r="2" spans="1:26" ht="28.5" customHeight="1" x14ac:dyDescent="0.25">
      <c r="A2" s="24" t="s">
        <v>1676</v>
      </c>
      <c r="B2" s="151" t="s">
        <v>1745</v>
      </c>
      <c r="C2" s="24" t="s">
        <v>89</v>
      </c>
      <c r="D2" s="33">
        <v>6095</v>
      </c>
      <c r="E2" s="33">
        <v>735</v>
      </c>
      <c r="F2" s="33">
        <v>429</v>
      </c>
      <c r="G2" s="33">
        <f t="shared" ref="G2:G33" si="0">D2+E2+F2</f>
        <v>7259</v>
      </c>
      <c r="H2" s="33">
        <v>4225</v>
      </c>
      <c r="I2" s="33">
        <v>370</v>
      </c>
      <c r="J2" s="33">
        <v>143</v>
      </c>
      <c r="K2" s="33">
        <f t="shared" ref="K2:K33" si="1">H2+I2+J2</f>
        <v>4738</v>
      </c>
      <c r="L2" s="25">
        <f t="shared" ref="L2:L35" si="2">G2-K2</f>
        <v>2521</v>
      </c>
      <c r="M2" s="25">
        <f t="shared" ref="M2:M18" si="3">(L2/K2)*100</f>
        <v>53.20810468552132</v>
      </c>
      <c r="N2" s="17"/>
      <c r="O2" s="17"/>
      <c r="P2" s="17"/>
      <c r="Q2" s="17"/>
      <c r="R2" s="17"/>
      <c r="S2" s="17"/>
      <c r="T2" s="17"/>
      <c r="U2" s="17"/>
      <c r="V2" s="17"/>
      <c r="W2" s="17"/>
      <c r="X2" s="17"/>
      <c r="Y2" s="17"/>
      <c r="Z2" s="17"/>
    </row>
    <row r="3" spans="1:26" ht="28.5" customHeight="1" x14ac:dyDescent="0.25">
      <c r="A3" s="24" t="s">
        <v>750</v>
      </c>
      <c r="B3" s="151" t="s">
        <v>751</v>
      </c>
      <c r="C3" s="24" t="s">
        <v>89</v>
      </c>
      <c r="D3" s="33">
        <v>1526</v>
      </c>
      <c r="E3" s="33">
        <v>197</v>
      </c>
      <c r="F3" s="33">
        <v>138</v>
      </c>
      <c r="G3" s="33">
        <f t="shared" si="0"/>
        <v>1861</v>
      </c>
      <c r="H3" s="33">
        <v>1078</v>
      </c>
      <c r="I3" s="33">
        <v>255</v>
      </c>
      <c r="J3" s="33">
        <v>167</v>
      </c>
      <c r="K3" s="33">
        <f t="shared" si="1"/>
        <v>1500</v>
      </c>
      <c r="L3" s="25">
        <f t="shared" si="2"/>
        <v>361</v>
      </c>
      <c r="M3" s="25">
        <f t="shared" si="3"/>
        <v>24.066666666666666</v>
      </c>
      <c r="N3" s="17"/>
      <c r="O3" s="17"/>
      <c r="P3" s="17"/>
      <c r="Q3" s="17"/>
      <c r="R3" s="17"/>
      <c r="S3" s="17"/>
      <c r="T3" s="17"/>
      <c r="U3" s="17"/>
      <c r="V3" s="17"/>
      <c r="W3" s="17"/>
      <c r="X3" s="17"/>
      <c r="Y3" s="17"/>
      <c r="Z3" s="17"/>
    </row>
    <row r="4" spans="1:26" ht="28.5" customHeight="1" x14ac:dyDescent="0.25">
      <c r="A4" s="24" t="s">
        <v>752</v>
      </c>
      <c r="B4" s="151" t="s">
        <v>753</v>
      </c>
      <c r="C4" s="24" t="s">
        <v>89</v>
      </c>
      <c r="D4" s="33">
        <v>2605</v>
      </c>
      <c r="E4" s="33">
        <v>490</v>
      </c>
      <c r="F4" s="33">
        <v>243</v>
      </c>
      <c r="G4" s="33">
        <f t="shared" si="0"/>
        <v>3338</v>
      </c>
      <c r="H4" s="33">
        <v>2984</v>
      </c>
      <c r="I4" s="33">
        <v>664</v>
      </c>
      <c r="J4" s="33">
        <v>283</v>
      </c>
      <c r="K4" s="33">
        <f t="shared" si="1"/>
        <v>3931</v>
      </c>
      <c r="L4" s="25">
        <f t="shared" si="2"/>
        <v>-593</v>
      </c>
      <c r="M4" s="25">
        <f t="shared" si="3"/>
        <v>-15.085220045789876</v>
      </c>
      <c r="N4" s="17"/>
      <c r="O4" s="17"/>
      <c r="P4" s="17"/>
      <c r="Q4" s="17"/>
      <c r="R4" s="17"/>
      <c r="S4" s="17"/>
      <c r="T4" s="17"/>
      <c r="U4" s="17"/>
      <c r="V4" s="17"/>
      <c r="W4" s="17"/>
      <c r="X4" s="17"/>
      <c r="Y4" s="17"/>
      <c r="Z4" s="17"/>
    </row>
    <row r="5" spans="1:26" ht="28.5" customHeight="1" x14ac:dyDescent="0.25">
      <c r="A5" s="24" t="s">
        <v>754</v>
      </c>
      <c r="B5" s="151" t="s">
        <v>755</v>
      </c>
      <c r="C5" s="24" t="s">
        <v>89</v>
      </c>
      <c r="D5" s="33">
        <v>1172</v>
      </c>
      <c r="E5" s="33">
        <v>450</v>
      </c>
      <c r="F5" s="33">
        <v>50</v>
      </c>
      <c r="G5" s="33">
        <f t="shared" si="0"/>
        <v>1672</v>
      </c>
      <c r="H5" s="33">
        <v>1180</v>
      </c>
      <c r="I5" s="33">
        <v>438</v>
      </c>
      <c r="J5" s="33">
        <v>37</v>
      </c>
      <c r="K5" s="33">
        <f t="shared" si="1"/>
        <v>1655</v>
      </c>
      <c r="L5" s="25">
        <f t="shared" si="2"/>
        <v>17</v>
      </c>
      <c r="M5" s="25">
        <f t="shared" si="3"/>
        <v>1.0271903323262841</v>
      </c>
      <c r="N5" s="17"/>
      <c r="O5" s="17"/>
      <c r="P5" s="17"/>
      <c r="Q5" s="17"/>
      <c r="R5" s="17"/>
      <c r="S5" s="17"/>
      <c r="T5" s="17"/>
      <c r="U5" s="17"/>
      <c r="V5" s="17"/>
      <c r="W5" s="17"/>
      <c r="X5" s="17"/>
      <c r="Y5" s="17"/>
      <c r="Z5" s="17"/>
    </row>
    <row r="6" spans="1:26" ht="28.5" customHeight="1" x14ac:dyDescent="0.25">
      <c r="A6" s="24" t="s">
        <v>756</v>
      </c>
      <c r="B6" s="151" t="s">
        <v>757</v>
      </c>
      <c r="C6" s="24" t="s">
        <v>89</v>
      </c>
      <c r="D6" s="33">
        <v>331</v>
      </c>
      <c r="E6" s="33">
        <v>149</v>
      </c>
      <c r="F6" s="33">
        <v>8</v>
      </c>
      <c r="G6" s="33">
        <f t="shared" si="0"/>
        <v>488</v>
      </c>
      <c r="H6" s="33">
        <v>249</v>
      </c>
      <c r="I6" s="33">
        <v>130</v>
      </c>
      <c r="J6" s="33">
        <v>0</v>
      </c>
      <c r="K6" s="33">
        <f t="shared" si="1"/>
        <v>379</v>
      </c>
      <c r="L6" s="25">
        <f t="shared" si="2"/>
        <v>109</v>
      </c>
      <c r="M6" s="25">
        <f t="shared" si="3"/>
        <v>28.759894459102902</v>
      </c>
      <c r="N6" s="17"/>
      <c r="O6" s="17"/>
      <c r="P6" s="17"/>
      <c r="Q6" s="17"/>
      <c r="R6" s="17"/>
      <c r="S6" s="17"/>
      <c r="T6" s="17"/>
      <c r="U6" s="17"/>
      <c r="V6" s="17"/>
      <c r="W6" s="17"/>
      <c r="X6" s="17"/>
      <c r="Y6" s="17"/>
      <c r="Z6" s="17"/>
    </row>
    <row r="7" spans="1:26" ht="28.5" customHeight="1" x14ac:dyDescent="0.25">
      <c r="A7" s="30" t="s">
        <v>758</v>
      </c>
      <c r="B7" s="152"/>
      <c r="C7" s="31" t="s">
        <v>89</v>
      </c>
      <c r="D7" s="22">
        <f t="shared" ref="D7:F7" si="4">D2+D3+D4+D5+D6</f>
        <v>11729</v>
      </c>
      <c r="E7" s="22">
        <f t="shared" si="4"/>
        <v>2021</v>
      </c>
      <c r="F7" s="22">
        <f t="shared" si="4"/>
        <v>868</v>
      </c>
      <c r="G7" s="22">
        <f t="shared" si="0"/>
        <v>14618</v>
      </c>
      <c r="H7" s="22">
        <v>9716</v>
      </c>
      <c r="I7" s="22">
        <v>1857</v>
      </c>
      <c r="J7" s="22">
        <v>630</v>
      </c>
      <c r="K7" s="22">
        <f t="shared" si="1"/>
        <v>12203</v>
      </c>
      <c r="L7" s="22">
        <f t="shared" si="2"/>
        <v>2415</v>
      </c>
      <c r="M7" s="22">
        <f t="shared" si="3"/>
        <v>19.790215520773579</v>
      </c>
      <c r="N7" s="17"/>
      <c r="O7" s="17"/>
      <c r="P7" s="17"/>
      <c r="Q7" s="17"/>
      <c r="R7" s="17"/>
      <c r="S7" s="17"/>
      <c r="T7" s="17"/>
      <c r="U7" s="17"/>
      <c r="V7" s="17"/>
      <c r="W7" s="17"/>
      <c r="X7" s="17"/>
      <c r="Y7" s="17"/>
      <c r="Z7" s="17"/>
    </row>
    <row r="8" spans="1:26" ht="28.5" customHeight="1" x14ac:dyDescent="0.25">
      <c r="A8" s="24" t="s">
        <v>759</v>
      </c>
      <c r="B8" s="151" t="s">
        <v>760</v>
      </c>
      <c r="C8" s="24" t="s">
        <v>89</v>
      </c>
      <c r="D8" s="49">
        <v>307</v>
      </c>
      <c r="E8" s="49">
        <v>21</v>
      </c>
      <c r="F8" s="49">
        <v>21</v>
      </c>
      <c r="G8" s="33">
        <f t="shared" si="0"/>
        <v>349</v>
      </c>
      <c r="H8" s="33">
        <v>501</v>
      </c>
      <c r="I8" s="33">
        <v>60</v>
      </c>
      <c r="J8" s="33">
        <v>39</v>
      </c>
      <c r="K8" s="33">
        <f t="shared" si="1"/>
        <v>600</v>
      </c>
      <c r="L8" s="25">
        <f t="shared" si="2"/>
        <v>-251</v>
      </c>
      <c r="M8" s="25">
        <f t="shared" si="3"/>
        <v>-41.833333333333336</v>
      </c>
      <c r="N8" s="17"/>
      <c r="O8" s="17"/>
      <c r="P8" s="17"/>
      <c r="Q8" s="17"/>
      <c r="R8" s="17"/>
      <c r="S8" s="17"/>
      <c r="T8" s="17"/>
      <c r="U8" s="17"/>
      <c r="V8" s="17"/>
      <c r="W8" s="17"/>
      <c r="X8" s="17"/>
      <c r="Y8" s="17"/>
      <c r="Z8" s="17"/>
    </row>
    <row r="9" spans="1:26" ht="28.5" customHeight="1" x14ac:dyDescent="0.25">
      <c r="A9" s="24" t="s">
        <v>761</v>
      </c>
      <c r="B9" s="151" t="s">
        <v>762</v>
      </c>
      <c r="C9" s="24" t="s">
        <v>89</v>
      </c>
      <c r="D9" s="33">
        <v>89</v>
      </c>
      <c r="E9" s="33">
        <v>159</v>
      </c>
      <c r="F9" s="33">
        <v>21</v>
      </c>
      <c r="G9" s="33">
        <f t="shared" si="0"/>
        <v>269</v>
      </c>
      <c r="H9" s="33">
        <v>160</v>
      </c>
      <c r="I9" s="33">
        <v>214</v>
      </c>
      <c r="J9" s="33">
        <v>32</v>
      </c>
      <c r="K9" s="33">
        <f t="shared" si="1"/>
        <v>406</v>
      </c>
      <c r="L9" s="25">
        <f t="shared" si="2"/>
        <v>-137</v>
      </c>
      <c r="M9" s="25">
        <f t="shared" si="3"/>
        <v>-33.743842364532014</v>
      </c>
      <c r="N9" s="17"/>
      <c r="O9" s="17"/>
      <c r="P9" s="17"/>
      <c r="Q9" s="17"/>
      <c r="R9" s="17"/>
      <c r="S9" s="17"/>
      <c r="T9" s="17"/>
      <c r="U9" s="17"/>
      <c r="V9" s="17"/>
      <c r="W9" s="17"/>
      <c r="X9" s="17"/>
      <c r="Y9" s="17"/>
      <c r="Z9" s="17"/>
    </row>
    <row r="10" spans="1:26" ht="28.5" customHeight="1" x14ac:dyDescent="0.25">
      <c r="A10" s="24" t="s">
        <v>763</v>
      </c>
      <c r="B10" s="151" t="s">
        <v>764</v>
      </c>
      <c r="C10" s="24" t="s">
        <v>89</v>
      </c>
      <c r="D10" s="33">
        <v>125</v>
      </c>
      <c r="E10" s="33">
        <v>54</v>
      </c>
      <c r="F10" s="33">
        <v>17</v>
      </c>
      <c r="G10" s="33">
        <f t="shared" si="0"/>
        <v>196</v>
      </c>
      <c r="H10" s="33">
        <v>268</v>
      </c>
      <c r="I10" s="33">
        <v>75</v>
      </c>
      <c r="J10" s="33">
        <v>26</v>
      </c>
      <c r="K10" s="33">
        <f t="shared" si="1"/>
        <v>369</v>
      </c>
      <c r="L10" s="25">
        <f t="shared" si="2"/>
        <v>-173</v>
      </c>
      <c r="M10" s="25">
        <f t="shared" si="3"/>
        <v>-46.883468834688344</v>
      </c>
      <c r="N10" s="17"/>
      <c r="O10" s="17"/>
      <c r="P10" s="17"/>
      <c r="Q10" s="17"/>
      <c r="R10" s="17"/>
      <c r="S10" s="17"/>
      <c r="T10" s="17"/>
      <c r="U10" s="17"/>
      <c r="V10" s="17"/>
      <c r="W10" s="17"/>
      <c r="X10" s="17"/>
      <c r="Y10" s="17"/>
      <c r="Z10" s="17"/>
    </row>
    <row r="11" spans="1:26" ht="28.5" customHeight="1" x14ac:dyDescent="0.25">
      <c r="A11" s="24" t="s">
        <v>765</v>
      </c>
      <c r="B11" s="151" t="s">
        <v>766</v>
      </c>
      <c r="C11" s="24" t="s">
        <v>89</v>
      </c>
      <c r="D11" s="33">
        <v>1376</v>
      </c>
      <c r="E11" s="33">
        <v>27</v>
      </c>
      <c r="F11" s="33">
        <v>45</v>
      </c>
      <c r="G11" s="33">
        <f t="shared" si="0"/>
        <v>1448</v>
      </c>
      <c r="H11" s="33">
        <v>2640</v>
      </c>
      <c r="I11" s="33">
        <v>101</v>
      </c>
      <c r="J11" s="33">
        <v>72</v>
      </c>
      <c r="K11" s="33">
        <f t="shared" si="1"/>
        <v>2813</v>
      </c>
      <c r="L11" s="25">
        <f t="shared" si="2"/>
        <v>-1365</v>
      </c>
      <c r="M11" s="25">
        <f t="shared" si="3"/>
        <v>-48.524706718805547</v>
      </c>
      <c r="N11" s="17"/>
      <c r="O11" s="17"/>
      <c r="P11" s="17"/>
      <c r="Q11" s="17"/>
      <c r="R11" s="17"/>
      <c r="S11" s="17"/>
      <c r="T11" s="17"/>
      <c r="U11" s="17"/>
      <c r="V11" s="17"/>
      <c r="W11" s="17"/>
      <c r="X11" s="17"/>
      <c r="Y11" s="17"/>
      <c r="Z11" s="17"/>
    </row>
    <row r="12" spans="1:26" ht="28.5" customHeight="1" x14ac:dyDescent="0.25">
      <c r="A12" s="30" t="s">
        <v>767</v>
      </c>
      <c r="B12" s="152"/>
      <c r="C12" s="31" t="s">
        <v>89</v>
      </c>
      <c r="D12" s="22">
        <v>1897</v>
      </c>
      <c r="E12" s="22">
        <v>261</v>
      </c>
      <c r="F12" s="22">
        <v>104</v>
      </c>
      <c r="G12" s="22">
        <f t="shared" si="0"/>
        <v>2262</v>
      </c>
      <c r="H12" s="22">
        <v>3569</v>
      </c>
      <c r="I12" s="22">
        <v>450</v>
      </c>
      <c r="J12" s="22">
        <v>169</v>
      </c>
      <c r="K12" s="22">
        <f t="shared" si="1"/>
        <v>4188</v>
      </c>
      <c r="L12" s="22">
        <f t="shared" si="2"/>
        <v>-1926</v>
      </c>
      <c r="M12" s="22">
        <f t="shared" si="3"/>
        <v>-45.988538681948427</v>
      </c>
      <c r="N12" s="17"/>
      <c r="O12" s="17"/>
      <c r="P12" s="17"/>
      <c r="Q12" s="17"/>
      <c r="R12" s="17"/>
      <c r="S12" s="17"/>
      <c r="T12" s="17"/>
      <c r="U12" s="17"/>
      <c r="V12" s="17"/>
      <c r="W12" s="17"/>
      <c r="X12" s="17"/>
      <c r="Y12" s="17"/>
      <c r="Z12" s="17"/>
    </row>
    <row r="13" spans="1:26" ht="28.5" customHeight="1" x14ac:dyDescent="0.25">
      <c r="A13" s="24" t="s">
        <v>768</v>
      </c>
      <c r="B13" s="24"/>
      <c r="C13" s="24" t="s">
        <v>89</v>
      </c>
      <c r="D13" s="33">
        <v>25</v>
      </c>
      <c r="E13" s="33">
        <v>5</v>
      </c>
      <c r="F13" s="33">
        <v>28</v>
      </c>
      <c r="G13" s="33">
        <f t="shared" si="0"/>
        <v>58</v>
      </c>
      <c r="H13" s="33">
        <v>30</v>
      </c>
      <c r="I13" s="33">
        <v>5</v>
      </c>
      <c r="J13" s="33">
        <v>12</v>
      </c>
      <c r="K13" s="33">
        <f t="shared" si="1"/>
        <v>47</v>
      </c>
      <c r="L13" s="25">
        <f t="shared" si="2"/>
        <v>11</v>
      </c>
      <c r="M13" s="25">
        <f t="shared" si="3"/>
        <v>23.404255319148938</v>
      </c>
      <c r="N13" s="17"/>
      <c r="O13" s="17"/>
      <c r="P13" s="17"/>
      <c r="Q13" s="17"/>
      <c r="R13" s="17"/>
      <c r="S13" s="17"/>
      <c r="T13" s="17"/>
      <c r="U13" s="17"/>
      <c r="V13" s="17"/>
      <c r="W13" s="17"/>
      <c r="X13" s="17"/>
      <c r="Y13" s="17"/>
      <c r="Z13" s="17"/>
    </row>
    <row r="14" spans="1:26" ht="28.5" customHeight="1" x14ac:dyDescent="0.25">
      <c r="A14" s="30" t="s">
        <v>696</v>
      </c>
      <c r="B14" s="30"/>
      <c r="C14" s="31" t="s">
        <v>89</v>
      </c>
      <c r="D14" s="22">
        <f t="shared" ref="D14:F14" si="5">D12+D7+D13</f>
        <v>13651</v>
      </c>
      <c r="E14" s="22">
        <f t="shared" si="5"/>
        <v>2287</v>
      </c>
      <c r="F14" s="22">
        <f t="shared" si="5"/>
        <v>1000</v>
      </c>
      <c r="G14" s="22">
        <f t="shared" si="0"/>
        <v>16938</v>
      </c>
      <c r="H14" s="22">
        <v>13315</v>
      </c>
      <c r="I14" s="22">
        <v>2312</v>
      </c>
      <c r="J14" s="22">
        <v>811</v>
      </c>
      <c r="K14" s="22">
        <f t="shared" si="1"/>
        <v>16438</v>
      </c>
      <c r="L14" s="22">
        <f t="shared" si="2"/>
        <v>500</v>
      </c>
      <c r="M14" s="22">
        <f t="shared" si="3"/>
        <v>3.041732570872369</v>
      </c>
      <c r="N14" s="17"/>
      <c r="O14" s="17"/>
      <c r="P14" s="17"/>
      <c r="Q14" s="17"/>
      <c r="R14" s="17"/>
      <c r="S14" s="17"/>
      <c r="T14" s="17"/>
      <c r="U14" s="17"/>
      <c r="V14" s="17"/>
      <c r="W14" s="17"/>
      <c r="X14" s="17"/>
      <c r="Y14" s="17"/>
      <c r="Z14" s="17"/>
    </row>
    <row r="15" spans="1:26" ht="28.5" customHeight="1" x14ac:dyDescent="0.25">
      <c r="A15" s="24" t="s">
        <v>769</v>
      </c>
      <c r="B15" s="24" t="s">
        <v>770</v>
      </c>
      <c r="C15" s="24" t="s">
        <v>89</v>
      </c>
      <c r="D15" s="33">
        <v>92</v>
      </c>
      <c r="E15" s="33">
        <v>29</v>
      </c>
      <c r="F15" s="33">
        <v>151</v>
      </c>
      <c r="G15" s="33">
        <f t="shared" si="0"/>
        <v>272</v>
      </c>
      <c r="H15" s="33">
        <v>312</v>
      </c>
      <c r="I15" s="33">
        <v>71</v>
      </c>
      <c r="J15" s="33">
        <v>260</v>
      </c>
      <c r="K15" s="33">
        <f t="shared" si="1"/>
        <v>643</v>
      </c>
      <c r="L15" s="25">
        <f t="shared" si="2"/>
        <v>-371</v>
      </c>
      <c r="M15" s="25">
        <f t="shared" si="3"/>
        <v>-57.698289269051315</v>
      </c>
      <c r="N15" s="17"/>
      <c r="O15" s="17"/>
      <c r="P15" s="17"/>
      <c r="Q15" s="17"/>
      <c r="R15" s="17"/>
      <c r="S15" s="17"/>
      <c r="T15" s="17"/>
      <c r="U15" s="17"/>
      <c r="V15" s="17"/>
      <c r="W15" s="17"/>
      <c r="X15" s="17"/>
      <c r="Y15" s="17"/>
      <c r="Z15" s="17"/>
    </row>
    <row r="16" spans="1:26" ht="28.5" customHeight="1" x14ac:dyDescent="0.25">
      <c r="A16" s="24" t="s">
        <v>771</v>
      </c>
      <c r="B16" s="24" t="s">
        <v>772</v>
      </c>
      <c r="C16" s="24" t="s">
        <v>89</v>
      </c>
      <c r="D16" s="33">
        <v>864</v>
      </c>
      <c r="E16" s="33">
        <v>337</v>
      </c>
      <c r="F16" s="33">
        <v>398</v>
      </c>
      <c r="G16" s="33">
        <f t="shared" si="0"/>
        <v>1599</v>
      </c>
      <c r="H16" s="33">
        <v>971</v>
      </c>
      <c r="I16" s="33">
        <v>553</v>
      </c>
      <c r="J16" s="33">
        <v>441</v>
      </c>
      <c r="K16" s="33">
        <f t="shared" si="1"/>
        <v>1965</v>
      </c>
      <c r="L16" s="25">
        <f t="shared" si="2"/>
        <v>-366</v>
      </c>
      <c r="M16" s="25">
        <f t="shared" si="3"/>
        <v>-18.625954198473281</v>
      </c>
      <c r="N16" s="17"/>
      <c r="O16" s="17"/>
      <c r="P16" s="17"/>
      <c r="Q16" s="17"/>
      <c r="R16" s="17"/>
      <c r="S16" s="17"/>
      <c r="T16" s="17"/>
      <c r="U16" s="17"/>
      <c r="V16" s="17"/>
      <c r="W16" s="17"/>
      <c r="X16" s="17"/>
      <c r="Y16" s="17"/>
      <c r="Z16" s="17"/>
    </row>
    <row r="17" spans="1:26" ht="28.5" customHeight="1" x14ac:dyDescent="0.25">
      <c r="A17" s="24" t="s">
        <v>773</v>
      </c>
      <c r="B17" s="24"/>
      <c r="C17" s="24" t="s">
        <v>89</v>
      </c>
      <c r="D17" s="33">
        <v>132</v>
      </c>
      <c r="E17" s="33">
        <v>48</v>
      </c>
      <c r="F17" s="33">
        <v>13</v>
      </c>
      <c r="G17" s="33">
        <f t="shared" si="0"/>
        <v>193</v>
      </c>
      <c r="H17" s="33">
        <v>182</v>
      </c>
      <c r="I17" s="33">
        <v>118</v>
      </c>
      <c r="J17" s="33">
        <v>28</v>
      </c>
      <c r="K17" s="33">
        <f t="shared" si="1"/>
        <v>328</v>
      </c>
      <c r="L17" s="25">
        <f t="shared" si="2"/>
        <v>-135</v>
      </c>
      <c r="M17" s="25">
        <f t="shared" si="3"/>
        <v>-41.158536585365852</v>
      </c>
      <c r="N17" s="17"/>
      <c r="O17" s="17"/>
      <c r="P17" s="17"/>
      <c r="Q17" s="17"/>
      <c r="R17" s="17"/>
      <c r="S17" s="17"/>
      <c r="T17" s="17"/>
      <c r="U17" s="17"/>
      <c r="V17" s="17"/>
      <c r="W17" s="17"/>
      <c r="X17" s="17"/>
      <c r="Y17" s="17"/>
      <c r="Z17" s="17"/>
    </row>
    <row r="18" spans="1:26" ht="28.5" customHeight="1" x14ac:dyDescent="0.25">
      <c r="A18" s="30" t="s">
        <v>774</v>
      </c>
      <c r="B18" s="30"/>
      <c r="C18" s="31" t="s">
        <v>89</v>
      </c>
      <c r="D18" s="22">
        <v>1088</v>
      </c>
      <c r="E18" s="22">
        <v>414</v>
      </c>
      <c r="F18" s="22">
        <v>562</v>
      </c>
      <c r="G18" s="22">
        <f t="shared" si="0"/>
        <v>2064</v>
      </c>
      <c r="H18" s="22">
        <v>1465</v>
      </c>
      <c r="I18" s="22">
        <v>742</v>
      </c>
      <c r="J18" s="22">
        <v>729</v>
      </c>
      <c r="K18" s="22">
        <f t="shared" si="1"/>
        <v>2936</v>
      </c>
      <c r="L18" s="22">
        <f t="shared" si="2"/>
        <v>-872</v>
      </c>
      <c r="M18" s="22">
        <f t="shared" si="3"/>
        <v>-29.700272479564031</v>
      </c>
      <c r="N18" s="17"/>
      <c r="O18" s="17"/>
      <c r="P18" s="17"/>
      <c r="Q18" s="17"/>
      <c r="R18" s="17"/>
      <c r="S18" s="17"/>
      <c r="T18" s="17"/>
      <c r="U18" s="17"/>
      <c r="V18" s="17"/>
      <c r="W18" s="17"/>
      <c r="X18" s="17"/>
      <c r="Y18" s="17"/>
      <c r="Z18" s="17"/>
    </row>
    <row r="19" spans="1:26" ht="28.5" customHeight="1" x14ac:dyDescent="0.25">
      <c r="A19" s="24" t="s">
        <v>775</v>
      </c>
      <c r="B19" s="153" t="s">
        <v>776</v>
      </c>
      <c r="C19" s="24" t="s">
        <v>89</v>
      </c>
      <c r="D19" s="33">
        <v>2026</v>
      </c>
      <c r="E19" s="33">
        <v>607</v>
      </c>
      <c r="F19" s="33">
        <v>178</v>
      </c>
      <c r="G19" s="33">
        <f t="shared" si="0"/>
        <v>2811</v>
      </c>
      <c r="H19" s="33">
        <v>0</v>
      </c>
      <c r="I19" s="33">
        <v>0</v>
      </c>
      <c r="J19" s="33">
        <v>0</v>
      </c>
      <c r="K19" s="33">
        <f t="shared" si="1"/>
        <v>0</v>
      </c>
      <c r="L19" s="25">
        <f t="shared" si="2"/>
        <v>2811</v>
      </c>
      <c r="M19" s="25" t="s">
        <v>67</v>
      </c>
      <c r="N19" s="17"/>
      <c r="O19" s="17"/>
      <c r="P19" s="17"/>
      <c r="Q19" s="17"/>
      <c r="R19" s="17"/>
      <c r="S19" s="17"/>
      <c r="T19" s="17"/>
      <c r="U19" s="17"/>
      <c r="V19" s="17"/>
      <c r="W19" s="17"/>
      <c r="X19" s="17"/>
      <c r="Y19" s="17"/>
      <c r="Z19" s="17"/>
    </row>
    <row r="20" spans="1:26" ht="28.5" customHeight="1" x14ac:dyDescent="0.25">
      <c r="A20" s="30" t="s">
        <v>775</v>
      </c>
      <c r="B20" s="30"/>
      <c r="C20" s="31" t="s">
        <v>89</v>
      </c>
      <c r="D20" s="22">
        <v>2026</v>
      </c>
      <c r="E20" s="22">
        <v>607</v>
      </c>
      <c r="F20" s="22">
        <v>178</v>
      </c>
      <c r="G20" s="22">
        <f t="shared" si="0"/>
        <v>2811</v>
      </c>
      <c r="H20" s="22">
        <v>0</v>
      </c>
      <c r="I20" s="22">
        <v>0</v>
      </c>
      <c r="J20" s="22">
        <v>0</v>
      </c>
      <c r="K20" s="22">
        <f t="shared" si="1"/>
        <v>0</v>
      </c>
      <c r="L20" s="22">
        <f t="shared" si="2"/>
        <v>2811</v>
      </c>
      <c r="M20" s="22" t="s">
        <v>67</v>
      </c>
      <c r="N20" s="17"/>
      <c r="O20" s="17"/>
      <c r="P20" s="17"/>
      <c r="Q20" s="17"/>
      <c r="R20" s="17"/>
      <c r="S20" s="17"/>
      <c r="T20" s="17"/>
      <c r="U20" s="17"/>
      <c r="V20" s="17"/>
      <c r="W20" s="17"/>
      <c r="X20" s="17"/>
      <c r="Y20" s="17"/>
      <c r="Z20" s="17"/>
    </row>
    <row r="21" spans="1:26" ht="28.5" customHeight="1" x14ac:dyDescent="0.25">
      <c r="A21" s="24" t="s">
        <v>777</v>
      </c>
      <c r="B21" s="153" t="s">
        <v>778</v>
      </c>
      <c r="C21" s="24" t="s">
        <v>49</v>
      </c>
      <c r="D21" s="33">
        <v>34</v>
      </c>
      <c r="E21" s="33">
        <v>10</v>
      </c>
      <c r="F21" s="33">
        <v>0</v>
      </c>
      <c r="G21" s="33">
        <f t="shared" si="0"/>
        <v>44</v>
      </c>
      <c r="H21" s="33">
        <v>0</v>
      </c>
      <c r="I21" s="33">
        <v>0</v>
      </c>
      <c r="J21" s="33">
        <v>0</v>
      </c>
      <c r="K21" s="33">
        <f t="shared" si="1"/>
        <v>0</v>
      </c>
      <c r="L21" s="25">
        <f t="shared" si="2"/>
        <v>44</v>
      </c>
      <c r="M21" s="25" t="s">
        <v>67</v>
      </c>
      <c r="N21" s="17"/>
      <c r="O21" s="17"/>
      <c r="P21" s="17"/>
      <c r="Q21" s="17"/>
      <c r="R21" s="17"/>
      <c r="S21" s="17"/>
      <c r="T21" s="17"/>
      <c r="U21" s="17"/>
      <c r="V21" s="17"/>
      <c r="W21" s="17"/>
      <c r="X21" s="17"/>
      <c r="Y21" s="17"/>
      <c r="Z21" s="17"/>
    </row>
    <row r="22" spans="1:26" ht="28.5" customHeight="1" x14ac:dyDescent="0.25">
      <c r="A22" s="24" t="s">
        <v>779</v>
      </c>
      <c r="B22" s="24" t="s">
        <v>780</v>
      </c>
      <c r="C22" s="24" t="s">
        <v>49</v>
      </c>
      <c r="D22" s="33">
        <v>362</v>
      </c>
      <c r="E22" s="33">
        <v>191</v>
      </c>
      <c r="F22" s="33">
        <v>10</v>
      </c>
      <c r="G22" s="33">
        <f t="shared" si="0"/>
        <v>563</v>
      </c>
      <c r="H22" s="33">
        <v>373</v>
      </c>
      <c r="I22" s="33">
        <v>83</v>
      </c>
      <c r="J22" s="33">
        <v>0</v>
      </c>
      <c r="K22" s="33">
        <f t="shared" si="1"/>
        <v>456</v>
      </c>
      <c r="L22" s="25">
        <f t="shared" si="2"/>
        <v>107</v>
      </c>
      <c r="M22" s="25">
        <f t="shared" ref="M22:M23" si="6">(L22/K22)*100</f>
        <v>23.464912280701753</v>
      </c>
      <c r="N22" s="17"/>
      <c r="O22" s="17"/>
      <c r="P22" s="17"/>
      <c r="Q22" s="17"/>
      <c r="R22" s="17"/>
      <c r="S22" s="17"/>
      <c r="T22" s="17"/>
      <c r="U22" s="17"/>
      <c r="V22" s="17"/>
      <c r="W22" s="17"/>
      <c r="X22" s="17"/>
      <c r="Y22" s="17"/>
      <c r="Z22" s="17"/>
    </row>
    <row r="23" spans="1:26" ht="28.5" customHeight="1" x14ac:dyDescent="0.25">
      <c r="A23" s="30" t="s">
        <v>781</v>
      </c>
      <c r="B23" s="30"/>
      <c r="C23" s="30"/>
      <c r="D23" s="22">
        <v>396</v>
      </c>
      <c r="E23" s="22">
        <v>201</v>
      </c>
      <c r="F23" s="22">
        <v>10</v>
      </c>
      <c r="G23" s="22">
        <f t="shared" si="0"/>
        <v>607</v>
      </c>
      <c r="H23" s="22">
        <v>373</v>
      </c>
      <c r="I23" s="22">
        <v>83</v>
      </c>
      <c r="J23" s="22">
        <v>0</v>
      </c>
      <c r="K23" s="22">
        <f t="shared" si="1"/>
        <v>456</v>
      </c>
      <c r="L23" s="22">
        <f t="shared" si="2"/>
        <v>151</v>
      </c>
      <c r="M23" s="22">
        <f t="shared" si="6"/>
        <v>33.114035087719294</v>
      </c>
      <c r="N23" s="17"/>
      <c r="O23" s="17"/>
      <c r="P23" s="17"/>
      <c r="Q23" s="17"/>
      <c r="R23" s="17"/>
      <c r="S23" s="17"/>
      <c r="T23" s="17"/>
      <c r="U23" s="17"/>
      <c r="V23" s="17"/>
      <c r="W23" s="17"/>
      <c r="X23" s="17"/>
      <c r="Y23" s="17"/>
      <c r="Z23" s="17"/>
    </row>
    <row r="24" spans="1:26" ht="28.5" customHeight="1" x14ac:dyDescent="0.25">
      <c r="A24" s="30" t="s">
        <v>782</v>
      </c>
      <c r="B24" s="31" t="s">
        <v>783</v>
      </c>
      <c r="C24" s="31" t="s">
        <v>49</v>
      </c>
      <c r="D24" s="22">
        <v>49</v>
      </c>
      <c r="E24" s="22">
        <v>0</v>
      </c>
      <c r="F24" s="22">
        <v>0</v>
      </c>
      <c r="G24" s="22">
        <f t="shared" si="0"/>
        <v>49</v>
      </c>
      <c r="H24" s="22">
        <v>0</v>
      </c>
      <c r="I24" s="22">
        <v>0</v>
      </c>
      <c r="J24" s="22">
        <v>0</v>
      </c>
      <c r="K24" s="22">
        <f t="shared" si="1"/>
        <v>0</v>
      </c>
      <c r="L24" s="22">
        <f t="shared" si="2"/>
        <v>49</v>
      </c>
      <c r="M24" s="22" t="s">
        <v>784</v>
      </c>
      <c r="N24" s="17"/>
      <c r="O24" s="17"/>
      <c r="P24" s="17"/>
      <c r="Q24" s="17"/>
      <c r="R24" s="17"/>
      <c r="S24" s="17"/>
      <c r="T24" s="17"/>
      <c r="U24" s="17"/>
      <c r="V24" s="17"/>
      <c r="W24" s="17"/>
      <c r="X24" s="17"/>
      <c r="Y24" s="17"/>
      <c r="Z24" s="17"/>
    </row>
    <row r="25" spans="1:26" ht="28.5" customHeight="1" x14ac:dyDescent="0.25">
      <c r="A25" s="24" t="s">
        <v>785</v>
      </c>
      <c r="B25" s="24" t="s">
        <v>291</v>
      </c>
      <c r="C25" s="24" t="s">
        <v>89</v>
      </c>
      <c r="D25" s="33">
        <v>61</v>
      </c>
      <c r="E25" s="33">
        <v>230</v>
      </c>
      <c r="F25" s="33">
        <v>145</v>
      </c>
      <c r="G25" s="33">
        <f t="shared" si="0"/>
        <v>436</v>
      </c>
      <c r="H25" s="33">
        <v>37</v>
      </c>
      <c r="I25" s="33">
        <v>234</v>
      </c>
      <c r="J25" s="33">
        <v>136</v>
      </c>
      <c r="K25" s="33">
        <f t="shared" si="1"/>
        <v>407</v>
      </c>
      <c r="L25" s="25">
        <f t="shared" si="2"/>
        <v>29</v>
      </c>
      <c r="M25" s="25">
        <f t="shared" ref="M25:M35" si="7">(L25/K25)*100</f>
        <v>7.1253071253071258</v>
      </c>
      <c r="N25" s="17"/>
      <c r="O25" s="17"/>
      <c r="P25" s="17"/>
      <c r="Q25" s="17"/>
      <c r="R25" s="17"/>
      <c r="S25" s="17"/>
      <c r="T25" s="17"/>
      <c r="U25" s="17"/>
      <c r="V25" s="17"/>
      <c r="W25" s="17"/>
      <c r="X25" s="17"/>
      <c r="Y25" s="17"/>
      <c r="Z25" s="17"/>
    </row>
    <row r="26" spans="1:26" ht="28.5" customHeight="1" x14ac:dyDescent="0.25">
      <c r="A26" s="24" t="s">
        <v>786</v>
      </c>
      <c r="B26" s="24" t="s">
        <v>787</v>
      </c>
      <c r="C26" s="24" t="s">
        <v>129</v>
      </c>
      <c r="D26" s="33">
        <v>314</v>
      </c>
      <c r="E26" s="33">
        <v>0</v>
      </c>
      <c r="F26" s="33">
        <v>0</v>
      </c>
      <c r="G26" s="33">
        <f t="shared" si="0"/>
        <v>314</v>
      </c>
      <c r="H26" s="33">
        <v>618</v>
      </c>
      <c r="I26" s="33">
        <v>0</v>
      </c>
      <c r="J26" s="33">
        <v>0</v>
      </c>
      <c r="K26" s="33">
        <f t="shared" si="1"/>
        <v>618</v>
      </c>
      <c r="L26" s="25">
        <f t="shared" si="2"/>
        <v>-304</v>
      </c>
      <c r="M26" s="25">
        <f t="shared" si="7"/>
        <v>-49.190938511326863</v>
      </c>
      <c r="N26" s="17"/>
      <c r="O26" s="17"/>
      <c r="P26" s="17"/>
      <c r="Q26" s="17"/>
      <c r="R26" s="17"/>
      <c r="S26" s="17"/>
      <c r="T26" s="17"/>
      <c r="U26" s="17"/>
      <c r="V26" s="17"/>
      <c r="W26" s="17"/>
      <c r="X26" s="17"/>
      <c r="Y26" s="17"/>
      <c r="Z26" s="17"/>
    </row>
    <row r="27" spans="1:26" ht="28.5" customHeight="1" x14ac:dyDescent="0.25">
      <c r="A27" s="24" t="s">
        <v>788</v>
      </c>
      <c r="B27" s="24" t="s">
        <v>789</v>
      </c>
      <c r="C27" s="24" t="s">
        <v>129</v>
      </c>
      <c r="D27" s="33">
        <v>9</v>
      </c>
      <c r="E27" s="33">
        <v>0</v>
      </c>
      <c r="F27" s="33">
        <v>0</v>
      </c>
      <c r="G27" s="33">
        <f t="shared" si="0"/>
        <v>9</v>
      </c>
      <c r="H27" s="33">
        <v>216</v>
      </c>
      <c r="I27" s="33">
        <v>0</v>
      </c>
      <c r="J27" s="33">
        <v>0</v>
      </c>
      <c r="K27" s="33">
        <f t="shared" si="1"/>
        <v>216</v>
      </c>
      <c r="L27" s="25">
        <f t="shared" si="2"/>
        <v>-207</v>
      </c>
      <c r="M27" s="25">
        <f t="shared" si="7"/>
        <v>-95.833333333333343</v>
      </c>
      <c r="N27" s="17"/>
      <c r="O27" s="17"/>
      <c r="P27" s="17"/>
      <c r="Q27" s="17"/>
      <c r="R27" s="17"/>
      <c r="S27" s="17"/>
      <c r="T27" s="17"/>
      <c r="U27" s="17"/>
      <c r="V27" s="17"/>
      <c r="W27" s="17"/>
      <c r="X27" s="17"/>
      <c r="Y27" s="17"/>
      <c r="Z27" s="17"/>
    </row>
    <row r="28" spans="1:26" ht="28.5" customHeight="1" x14ac:dyDescent="0.25">
      <c r="A28" s="24" t="s">
        <v>790</v>
      </c>
      <c r="B28" s="24" t="s">
        <v>791</v>
      </c>
      <c r="C28" s="24" t="s">
        <v>89</v>
      </c>
      <c r="D28" s="33">
        <v>356</v>
      </c>
      <c r="E28" s="33">
        <v>29</v>
      </c>
      <c r="F28" s="33">
        <v>272</v>
      </c>
      <c r="G28" s="33">
        <f t="shared" si="0"/>
        <v>657</v>
      </c>
      <c r="H28" s="33">
        <v>309</v>
      </c>
      <c r="I28" s="33">
        <v>21</v>
      </c>
      <c r="J28" s="33">
        <v>158</v>
      </c>
      <c r="K28" s="33">
        <f t="shared" si="1"/>
        <v>488</v>
      </c>
      <c r="L28" s="25">
        <f t="shared" si="2"/>
        <v>169</v>
      </c>
      <c r="M28" s="25">
        <f t="shared" si="7"/>
        <v>34.631147540983612</v>
      </c>
      <c r="N28" s="17"/>
      <c r="O28" s="17"/>
      <c r="P28" s="17"/>
      <c r="Q28" s="17"/>
      <c r="R28" s="17"/>
      <c r="S28" s="17"/>
      <c r="T28" s="17"/>
      <c r="U28" s="17"/>
      <c r="V28" s="17"/>
      <c r="W28" s="17"/>
      <c r="X28" s="17"/>
      <c r="Y28" s="17"/>
      <c r="Z28" s="17"/>
    </row>
    <row r="29" spans="1:26" ht="28.5" customHeight="1" x14ac:dyDescent="0.25">
      <c r="A29" s="24" t="s">
        <v>792</v>
      </c>
      <c r="B29" s="24" t="s">
        <v>791</v>
      </c>
      <c r="C29" s="24" t="s">
        <v>89</v>
      </c>
      <c r="D29" s="33">
        <v>14</v>
      </c>
      <c r="E29" s="33">
        <v>34</v>
      </c>
      <c r="F29" s="33">
        <v>137</v>
      </c>
      <c r="G29" s="33">
        <f t="shared" si="0"/>
        <v>185</v>
      </c>
      <c r="H29" s="33">
        <v>32</v>
      </c>
      <c r="I29" s="33">
        <v>69</v>
      </c>
      <c r="J29" s="33">
        <v>142</v>
      </c>
      <c r="K29" s="33">
        <f t="shared" si="1"/>
        <v>243</v>
      </c>
      <c r="L29" s="25">
        <f t="shared" si="2"/>
        <v>-58</v>
      </c>
      <c r="M29" s="25">
        <f t="shared" si="7"/>
        <v>-23.868312757201647</v>
      </c>
      <c r="N29" s="17"/>
      <c r="O29" s="17"/>
      <c r="P29" s="17"/>
      <c r="Q29" s="17"/>
      <c r="R29" s="17"/>
      <c r="S29" s="17"/>
      <c r="T29" s="17"/>
      <c r="U29" s="17"/>
      <c r="V29" s="17"/>
      <c r="W29" s="17"/>
      <c r="X29" s="17"/>
      <c r="Y29" s="17"/>
      <c r="Z29" s="17"/>
    </row>
    <row r="30" spans="1:26" ht="28.5" customHeight="1" x14ac:dyDescent="0.25">
      <c r="A30" s="24" t="s">
        <v>793</v>
      </c>
      <c r="B30" s="24" t="s">
        <v>794</v>
      </c>
      <c r="C30" s="24" t="s">
        <v>49</v>
      </c>
      <c r="D30" s="33">
        <v>31</v>
      </c>
      <c r="E30" s="33">
        <v>39</v>
      </c>
      <c r="F30" s="33">
        <v>2</v>
      </c>
      <c r="G30" s="33">
        <f t="shared" si="0"/>
        <v>72</v>
      </c>
      <c r="H30" s="33">
        <v>47</v>
      </c>
      <c r="I30" s="33">
        <v>54</v>
      </c>
      <c r="J30" s="33">
        <v>2</v>
      </c>
      <c r="K30" s="33">
        <f t="shared" si="1"/>
        <v>103</v>
      </c>
      <c r="L30" s="25">
        <f t="shared" si="2"/>
        <v>-31</v>
      </c>
      <c r="M30" s="25">
        <f t="shared" si="7"/>
        <v>-30.097087378640776</v>
      </c>
      <c r="N30" s="17"/>
      <c r="O30" s="17"/>
      <c r="P30" s="17"/>
      <c r="Q30" s="17"/>
      <c r="R30" s="17"/>
      <c r="S30" s="17"/>
      <c r="T30" s="17"/>
      <c r="U30" s="17"/>
      <c r="V30" s="17"/>
      <c r="W30" s="17"/>
      <c r="X30" s="17"/>
      <c r="Y30" s="17"/>
      <c r="Z30" s="17"/>
    </row>
    <row r="31" spans="1:26" ht="28.5" customHeight="1" x14ac:dyDescent="0.25">
      <c r="A31" s="24" t="s">
        <v>23</v>
      </c>
      <c r="B31" s="24"/>
      <c r="C31" s="24" t="s">
        <v>89</v>
      </c>
      <c r="D31" s="33">
        <v>146</v>
      </c>
      <c r="E31" s="33">
        <v>53</v>
      </c>
      <c r="F31" s="33">
        <v>14</v>
      </c>
      <c r="G31" s="33">
        <f t="shared" si="0"/>
        <v>213</v>
      </c>
      <c r="H31" s="33">
        <v>153</v>
      </c>
      <c r="I31" s="33">
        <v>52</v>
      </c>
      <c r="J31" s="33">
        <v>9</v>
      </c>
      <c r="K31" s="33">
        <f t="shared" si="1"/>
        <v>214</v>
      </c>
      <c r="L31" s="25">
        <f t="shared" si="2"/>
        <v>-1</v>
      </c>
      <c r="M31" s="25">
        <f t="shared" si="7"/>
        <v>-0.46728971962616817</v>
      </c>
      <c r="N31" s="17"/>
      <c r="O31" s="17"/>
      <c r="P31" s="17"/>
      <c r="Q31" s="17"/>
      <c r="R31" s="17"/>
      <c r="S31" s="17"/>
      <c r="T31" s="17"/>
      <c r="U31" s="17"/>
      <c r="V31" s="17"/>
      <c r="W31" s="17"/>
      <c r="X31" s="17"/>
      <c r="Y31" s="17"/>
      <c r="Z31" s="17"/>
    </row>
    <row r="32" spans="1:26" ht="28.5" customHeight="1" x14ac:dyDescent="0.25">
      <c r="A32" s="30" t="s">
        <v>795</v>
      </c>
      <c r="B32" s="152"/>
      <c r="C32" s="30"/>
      <c r="D32" s="22">
        <v>931</v>
      </c>
      <c r="E32" s="22">
        <v>385</v>
      </c>
      <c r="F32" s="22">
        <v>570</v>
      </c>
      <c r="G32" s="22">
        <f t="shared" si="0"/>
        <v>1886</v>
      </c>
      <c r="H32" s="22">
        <v>1412</v>
      </c>
      <c r="I32" s="22">
        <v>430</v>
      </c>
      <c r="J32" s="22">
        <v>447</v>
      </c>
      <c r="K32" s="22">
        <f t="shared" si="1"/>
        <v>2289</v>
      </c>
      <c r="L32" s="22">
        <f t="shared" si="2"/>
        <v>-403</v>
      </c>
      <c r="M32" s="22">
        <f t="shared" si="7"/>
        <v>-17.605941459152469</v>
      </c>
      <c r="N32" s="17"/>
      <c r="O32" s="17"/>
      <c r="P32" s="17"/>
      <c r="Q32" s="17"/>
      <c r="R32" s="17"/>
      <c r="S32" s="17"/>
      <c r="T32" s="17"/>
      <c r="U32" s="17"/>
      <c r="V32" s="17"/>
      <c r="W32" s="17"/>
      <c r="X32" s="17"/>
      <c r="Y32" s="17"/>
      <c r="Z32" s="17"/>
    </row>
    <row r="33" spans="1:26" ht="28.5" customHeight="1" x14ac:dyDescent="0.25">
      <c r="A33" s="30" t="s">
        <v>796</v>
      </c>
      <c r="B33" s="152"/>
      <c r="C33" s="30"/>
      <c r="D33" s="22">
        <v>18141</v>
      </c>
      <c r="E33" s="22">
        <v>3894</v>
      </c>
      <c r="F33" s="22">
        <v>2320</v>
      </c>
      <c r="G33" s="22">
        <f t="shared" si="0"/>
        <v>24355</v>
      </c>
      <c r="H33" s="22">
        <v>16565</v>
      </c>
      <c r="I33" s="22">
        <v>3567</v>
      </c>
      <c r="J33" s="22">
        <v>1987</v>
      </c>
      <c r="K33" s="22">
        <f t="shared" si="1"/>
        <v>22119</v>
      </c>
      <c r="L33" s="22">
        <f t="shared" si="2"/>
        <v>2236</v>
      </c>
      <c r="M33" s="22">
        <f t="shared" si="7"/>
        <v>10.108956101089561</v>
      </c>
      <c r="N33" s="17"/>
      <c r="O33" s="17"/>
      <c r="P33" s="17"/>
      <c r="Q33" s="17"/>
      <c r="R33" s="17"/>
      <c r="S33" s="17"/>
      <c r="T33" s="17"/>
      <c r="U33" s="17"/>
      <c r="V33" s="17"/>
      <c r="W33" s="17"/>
      <c r="X33" s="17"/>
      <c r="Y33" s="17"/>
      <c r="Z33" s="17"/>
    </row>
    <row r="34" spans="1:26" ht="28.5" customHeight="1" x14ac:dyDescent="0.25">
      <c r="A34" s="30" t="s">
        <v>797</v>
      </c>
      <c r="B34" s="152"/>
      <c r="C34" s="30"/>
      <c r="D34" s="154"/>
      <c r="E34" s="154"/>
      <c r="F34" s="154"/>
      <c r="G34" s="22">
        <v>334</v>
      </c>
      <c r="H34" s="154"/>
      <c r="I34" s="154"/>
      <c r="J34" s="154"/>
      <c r="K34" s="22">
        <v>330</v>
      </c>
      <c r="L34" s="22">
        <f t="shared" si="2"/>
        <v>4</v>
      </c>
      <c r="M34" s="22">
        <f t="shared" si="7"/>
        <v>1.2121212121212122</v>
      </c>
      <c r="N34" s="17"/>
      <c r="O34" s="17"/>
      <c r="P34" s="17"/>
      <c r="Q34" s="17"/>
      <c r="R34" s="17"/>
      <c r="S34" s="17"/>
      <c r="T34" s="17"/>
      <c r="U34" s="17"/>
      <c r="V34" s="17"/>
      <c r="W34" s="17"/>
      <c r="X34" s="17"/>
      <c r="Y34" s="17"/>
      <c r="Z34" s="17"/>
    </row>
    <row r="35" spans="1:26" ht="28.5" customHeight="1" x14ac:dyDescent="0.25">
      <c r="A35" s="30" t="s">
        <v>101</v>
      </c>
      <c r="B35" s="152"/>
      <c r="C35" s="30"/>
      <c r="D35" s="154"/>
      <c r="E35" s="154"/>
      <c r="F35" s="154"/>
      <c r="G35" s="22">
        <v>24689</v>
      </c>
      <c r="H35" s="154"/>
      <c r="I35" s="154"/>
      <c r="J35" s="154"/>
      <c r="K35" s="22">
        <v>22449</v>
      </c>
      <c r="L35" s="22">
        <f t="shared" si="2"/>
        <v>2240</v>
      </c>
      <c r="M35" s="22">
        <f t="shared" si="7"/>
        <v>9.9781727471156856</v>
      </c>
      <c r="N35" s="17"/>
      <c r="O35" s="17"/>
      <c r="P35" s="17"/>
      <c r="Q35" s="17"/>
      <c r="R35" s="17"/>
      <c r="S35" s="17"/>
      <c r="T35" s="17"/>
      <c r="U35" s="17"/>
      <c r="V35" s="17"/>
      <c r="W35" s="17"/>
      <c r="X35" s="17"/>
      <c r="Y35" s="17"/>
      <c r="Z35" s="17"/>
    </row>
  </sheetData>
  <pageMargins left="0.7" right="0.7" top="0.75" bottom="0.75" header="0" footer="0"/>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2A5DB0"/>
  </sheetPr>
  <dimension ref="A1:Z62"/>
  <sheetViews>
    <sheetView workbookViewId="0">
      <pane ySplit="1" topLeftCell="A2" activePane="bottomLeft" state="frozen"/>
      <selection pane="bottomLeft"/>
    </sheetView>
  </sheetViews>
  <sheetFormatPr defaultColWidth="14.44140625" defaultRowHeight="15.75" customHeight="1" x14ac:dyDescent="0.25"/>
  <cols>
    <col min="1" max="1" width="27.33203125" customWidth="1"/>
    <col min="2" max="2" width="26.6640625" customWidth="1"/>
    <col min="3" max="3" width="22.33203125" customWidth="1"/>
    <col min="4" max="5" width="11.88671875" customWidth="1"/>
    <col min="6" max="6" width="15" customWidth="1"/>
    <col min="7" max="7" width="11.88671875" customWidth="1"/>
    <col min="8" max="8" width="13.109375" customWidth="1"/>
    <col min="9" max="9" width="10.109375" customWidth="1"/>
    <col min="10" max="10" width="13.33203125" customWidth="1"/>
    <col min="11" max="11" width="13.109375" customWidth="1"/>
    <col min="12" max="12" width="13.33203125" customWidth="1"/>
    <col min="13" max="13" width="13.44140625" customWidth="1"/>
    <col min="14" max="26" width="9.109375" customWidth="1"/>
  </cols>
  <sheetData>
    <row r="1" spans="1:26" ht="34.5" customHeight="1" x14ac:dyDescent="0.25">
      <c r="A1" s="46" t="s">
        <v>1746</v>
      </c>
      <c r="B1" s="47" t="s">
        <v>10</v>
      </c>
      <c r="C1" s="47" t="s">
        <v>11</v>
      </c>
      <c r="D1" s="155" t="s">
        <v>1678</v>
      </c>
      <c r="E1" s="155" t="s">
        <v>1704</v>
      </c>
      <c r="F1" s="155" t="s">
        <v>1679</v>
      </c>
      <c r="G1" s="60" t="s">
        <v>1687</v>
      </c>
      <c r="H1" s="155" t="s">
        <v>1678</v>
      </c>
      <c r="I1" s="155" t="s">
        <v>1704</v>
      </c>
      <c r="J1" s="155" t="s">
        <v>1679</v>
      </c>
      <c r="K1" s="155" t="s">
        <v>1688</v>
      </c>
      <c r="L1" s="47" t="s">
        <v>1682</v>
      </c>
      <c r="M1" s="155" t="s">
        <v>1683</v>
      </c>
      <c r="N1" s="69"/>
      <c r="O1" s="69"/>
      <c r="P1" s="69"/>
      <c r="Q1" s="69"/>
      <c r="R1" s="69"/>
      <c r="S1" s="69"/>
      <c r="T1" s="69"/>
      <c r="U1" s="69"/>
      <c r="V1" s="69"/>
      <c r="W1" s="69"/>
      <c r="X1" s="69"/>
      <c r="Y1" s="69"/>
      <c r="Z1" s="69"/>
    </row>
    <row r="2" spans="1:26" ht="28.5" customHeight="1" x14ac:dyDescent="0.25">
      <c r="A2" s="11" t="s">
        <v>1747</v>
      </c>
      <c r="B2" s="156" t="s">
        <v>1748</v>
      </c>
      <c r="C2" s="24" t="s">
        <v>221</v>
      </c>
      <c r="D2" s="25">
        <v>327</v>
      </c>
      <c r="E2" s="25">
        <v>142</v>
      </c>
      <c r="F2" s="25">
        <v>78</v>
      </c>
      <c r="G2" s="25">
        <f t="shared" ref="G2:G49" si="0">D2+E2+F2</f>
        <v>547</v>
      </c>
      <c r="H2" s="25">
        <v>324</v>
      </c>
      <c r="I2" s="25">
        <v>120</v>
      </c>
      <c r="J2" s="25">
        <v>70</v>
      </c>
      <c r="K2" s="25">
        <v>514</v>
      </c>
      <c r="L2" s="51">
        <f t="shared" ref="L2:L62" si="1">G2-K2</f>
        <v>33</v>
      </c>
      <c r="M2" s="50">
        <f t="shared" ref="M2:M15" si="2">(L2/K2)*100</f>
        <v>6.4202334630350189</v>
      </c>
      <c r="N2" s="18"/>
      <c r="O2" s="18"/>
      <c r="P2" s="18"/>
      <c r="Q2" s="18"/>
      <c r="R2" s="18"/>
      <c r="S2" s="18"/>
      <c r="T2" s="18"/>
      <c r="U2" s="18"/>
      <c r="V2" s="18"/>
      <c r="W2" s="18"/>
      <c r="X2" s="18"/>
      <c r="Y2" s="18"/>
      <c r="Z2" s="18"/>
    </row>
    <row r="3" spans="1:26" ht="28.5" customHeight="1" x14ac:dyDescent="0.25">
      <c r="A3" s="11" t="s">
        <v>668</v>
      </c>
      <c r="B3" s="24" t="s">
        <v>669</v>
      </c>
      <c r="C3" s="24" t="s">
        <v>221</v>
      </c>
      <c r="D3" s="25">
        <v>37</v>
      </c>
      <c r="E3" s="25">
        <v>0</v>
      </c>
      <c r="F3" s="25">
        <v>8</v>
      </c>
      <c r="G3" s="25">
        <f t="shared" si="0"/>
        <v>45</v>
      </c>
      <c r="H3" s="25">
        <v>41</v>
      </c>
      <c r="I3" s="25">
        <v>0</v>
      </c>
      <c r="J3" s="25">
        <v>7</v>
      </c>
      <c r="K3" s="25">
        <v>48</v>
      </c>
      <c r="L3" s="51">
        <f t="shared" si="1"/>
        <v>-3</v>
      </c>
      <c r="M3" s="50">
        <f t="shared" si="2"/>
        <v>-6.25</v>
      </c>
      <c r="N3" s="18"/>
      <c r="O3" s="18"/>
      <c r="P3" s="18"/>
      <c r="Q3" s="18"/>
      <c r="R3" s="18"/>
      <c r="S3" s="18"/>
      <c r="T3" s="18"/>
      <c r="U3" s="18"/>
      <c r="V3" s="18"/>
      <c r="W3" s="18"/>
      <c r="X3" s="18"/>
      <c r="Y3" s="18"/>
      <c r="Z3" s="18"/>
    </row>
    <row r="4" spans="1:26" ht="28.5" customHeight="1" x14ac:dyDescent="0.25">
      <c r="A4" s="11" t="s">
        <v>670</v>
      </c>
      <c r="B4" s="24" t="s">
        <v>671</v>
      </c>
      <c r="C4" s="24" t="s">
        <v>221</v>
      </c>
      <c r="D4" s="25">
        <v>117</v>
      </c>
      <c r="E4" s="25">
        <v>74</v>
      </c>
      <c r="F4" s="25">
        <v>29</v>
      </c>
      <c r="G4" s="25">
        <f t="shared" si="0"/>
        <v>220</v>
      </c>
      <c r="H4" s="25">
        <v>161</v>
      </c>
      <c r="I4" s="25">
        <v>73</v>
      </c>
      <c r="J4" s="25">
        <v>28</v>
      </c>
      <c r="K4" s="25">
        <v>262</v>
      </c>
      <c r="L4" s="51">
        <f t="shared" si="1"/>
        <v>-42</v>
      </c>
      <c r="M4" s="50">
        <f t="shared" si="2"/>
        <v>-16.030534351145036</v>
      </c>
      <c r="N4" s="18"/>
      <c r="O4" s="18"/>
      <c r="P4" s="18"/>
      <c r="Q4" s="18"/>
      <c r="R4" s="18"/>
      <c r="S4" s="18"/>
      <c r="T4" s="18"/>
      <c r="U4" s="18"/>
      <c r="V4" s="18"/>
      <c r="W4" s="18"/>
      <c r="X4" s="18"/>
      <c r="Y4" s="18"/>
      <c r="Z4" s="18"/>
    </row>
    <row r="5" spans="1:26" ht="28.5" customHeight="1" x14ac:dyDescent="0.25">
      <c r="A5" s="11" t="s">
        <v>672</v>
      </c>
      <c r="B5" s="24" t="s">
        <v>673</v>
      </c>
      <c r="C5" s="24" t="s">
        <v>221</v>
      </c>
      <c r="D5" s="25">
        <v>474</v>
      </c>
      <c r="E5" s="25">
        <v>322</v>
      </c>
      <c r="F5" s="25">
        <v>328</v>
      </c>
      <c r="G5" s="25">
        <f t="shared" si="0"/>
        <v>1124</v>
      </c>
      <c r="H5" s="25">
        <v>381</v>
      </c>
      <c r="I5" s="25">
        <v>282</v>
      </c>
      <c r="J5" s="25">
        <v>308</v>
      </c>
      <c r="K5" s="25">
        <v>971</v>
      </c>
      <c r="L5" s="51">
        <f t="shared" si="1"/>
        <v>153</v>
      </c>
      <c r="M5" s="50">
        <f t="shared" si="2"/>
        <v>15.756951596292481</v>
      </c>
      <c r="N5" s="18"/>
      <c r="O5" s="18"/>
      <c r="P5" s="18"/>
      <c r="Q5" s="18"/>
      <c r="R5" s="18"/>
      <c r="S5" s="18"/>
      <c r="T5" s="18"/>
      <c r="U5" s="18"/>
      <c r="V5" s="18"/>
      <c r="W5" s="18"/>
      <c r="X5" s="18"/>
      <c r="Y5" s="18"/>
      <c r="Z5" s="18"/>
    </row>
    <row r="6" spans="1:26" ht="28.5" customHeight="1" x14ac:dyDescent="0.25">
      <c r="A6" s="11" t="s">
        <v>674</v>
      </c>
      <c r="B6" s="24" t="s">
        <v>675</v>
      </c>
      <c r="C6" s="24" t="s">
        <v>221</v>
      </c>
      <c r="D6" s="25">
        <v>561</v>
      </c>
      <c r="E6" s="25">
        <v>168</v>
      </c>
      <c r="F6" s="25">
        <v>90</v>
      </c>
      <c r="G6" s="25">
        <f t="shared" si="0"/>
        <v>819</v>
      </c>
      <c r="H6" s="25">
        <v>382</v>
      </c>
      <c r="I6" s="25">
        <v>102</v>
      </c>
      <c r="J6" s="25">
        <v>34</v>
      </c>
      <c r="K6" s="25">
        <v>518</v>
      </c>
      <c r="L6" s="51">
        <f t="shared" si="1"/>
        <v>301</v>
      </c>
      <c r="M6" s="50">
        <f t="shared" si="2"/>
        <v>58.108108108108105</v>
      </c>
      <c r="N6" s="18"/>
      <c r="O6" s="18"/>
      <c r="P6" s="18"/>
      <c r="Q6" s="18"/>
      <c r="R6" s="18"/>
      <c r="S6" s="18"/>
      <c r="T6" s="18"/>
      <c r="U6" s="18"/>
      <c r="V6" s="18"/>
      <c r="W6" s="18"/>
      <c r="X6" s="18"/>
      <c r="Y6" s="18"/>
      <c r="Z6" s="18"/>
    </row>
    <row r="7" spans="1:26" ht="28.5" customHeight="1" x14ac:dyDescent="0.25">
      <c r="A7" s="11" t="s">
        <v>676</v>
      </c>
      <c r="B7" s="11"/>
      <c r="C7" s="24" t="s">
        <v>221</v>
      </c>
      <c r="D7" s="51">
        <v>1516</v>
      </c>
      <c r="E7" s="51">
        <v>706</v>
      </c>
      <c r="F7" s="51">
        <v>533</v>
      </c>
      <c r="G7" s="25">
        <f t="shared" si="0"/>
        <v>2755</v>
      </c>
      <c r="H7" s="51">
        <v>1289</v>
      </c>
      <c r="I7" s="51">
        <v>577</v>
      </c>
      <c r="J7" s="51">
        <v>447</v>
      </c>
      <c r="K7" s="51">
        <v>2313</v>
      </c>
      <c r="L7" s="51">
        <f t="shared" si="1"/>
        <v>442</v>
      </c>
      <c r="M7" s="50">
        <f t="shared" si="2"/>
        <v>19.109381755296152</v>
      </c>
      <c r="N7" s="18"/>
      <c r="O7" s="18"/>
      <c r="P7" s="18"/>
      <c r="Q7" s="18"/>
      <c r="R7" s="18"/>
      <c r="S7" s="18"/>
      <c r="T7" s="18"/>
      <c r="U7" s="18"/>
      <c r="V7" s="18"/>
      <c r="W7" s="18"/>
      <c r="X7" s="18"/>
      <c r="Y7" s="18"/>
      <c r="Z7" s="18"/>
    </row>
    <row r="8" spans="1:26" ht="28.5" customHeight="1" x14ac:dyDescent="0.25">
      <c r="A8" s="11" t="s">
        <v>677</v>
      </c>
      <c r="B8" s="24" t="s">
        <v>678</v>
      </c>
      <c r="C8" s="24" t="s">
        <v>221</v>
      </c>
      <c r="D8" s="25">
        <v>598</v>
      </c>
      <c r="E8" s="25">
        <v>238</v>
      </c>
      <c r="F8" s="25">
        <v>158</v>
      </c>
      <c r="G8" s="25">
        <f t="shared" si="0"/>
        <v>994</v>
      </c>
      <c r="H8" s="25">
        <v>453</v>
      </c>
      <c r="I8" s="25">
        <v>206</v>
      </c>
      <c r="J8" s="25">
        <v>109</v>
      </c>
      <c r="K8" s="25">
        <v>768</v>
      </c>
      <c r="L8" s="51">
        <f t="shared" si="1"/>
        <v>226</v>
      </c>
      <c r="M8" s="50">
        <f t="shared" si="2"/>
        <v>29.427083333333332</v>
      </c>
      <c r="N8" s="18"/>
      <c r="O8" s="18"/>
      <c r="P8" s="18"/>
      <c r="Q8" s="18"/>
      <c r="R8" s="18"/>
      <c r="S8" s="18"/>
      <c r="T8" s="18"/>
      <c r="U8" s="18"/>
      <c r="V8" s="18"/>
      <c r="W8" s="18"/>
      <c r="X8" s="18"/>
      <c r="Y8" s="18"/>
      <c r="Z8" s="18"/>
    </row>
    <row r="9" spans="1:26" ht="28.5" customHeight="1" x14ac:dyDescent="0.25">
      <c r="A9" s="26" t="s">
        <v>679</v>
      </c>
      <c r="B9" s="26"/>
      <c r="C9" s="147" t="s">
        <v>221</v>
      </c>
      <c r="D9" s="19">
        <v>2114</v>
      </c>
      <c r="E9" s="19">
        <v>944</v>
      </c>
      <c r="F9" s="19">
        <v>691</v>
      </c>
      <c r="G9" s="22">
        <f t="shared" si="0"/>
        <v>3749</v>
      </c>
      <c r="H9" s="19">
        <v>1742</v>
      </c>
      <c r="I9" s="19">
        <v>783</v>
      </c>
      <c r="J9" s="19">
        <v>556</v>
      </c>
      <c r="K9" s="19">
        <v>3081</v>
      </c>
      <c r="L9" s="19">
        <f t="shared" si="1"/>
        <v>668</v>
      </c>
      <c r="M9" s="92">
        <f t="shared" si="2"/>
        <v>21.681272314183705</v>
      </c>
      <c r="N9" s="18"/>
      <c r="O9" s="18"/>
      <c r="P9" s="18"/>
      <c r="Q9" s="18"/>
      <c r="R9" s="18"/>
      <c r="S9" s="18"/>
      <c r="T9" s="18"/>
      <c r="U9" s="18"/>
      <c r="V9" s="18"/>
      <c r="W9" s="18"/>
      <c r="X9" s="18"/>
      <c r="Y9" s="18"/>
      <c r="Z9" s="18"/>
    </row>
    <row r="10" spans="1:26" ht="28.5" customHeight="1" x14ac:dyDescent="0.25">
      <c r="A10" s="11" t="s">
        <v>680</v>
      </c>
      <c r="B10" s="11" t="s">
        <v>681</v>
      </c>
      <c r="C10" s="11" t="s">
        <v>89</v>
      </c>
      <c r="D10" s="51">
        <v>871</v>
      </c>
      <c r="E10" s="51">
        <v>368</v>
      </c>
      <c r="F10" s="51">
        <v>288</v>
      </c>
      <c r="G10" s="25">
        <f t="shared" si="0"/>
        <v>1527</v>
      </c>
      <c r="H10" s="51">
        <v>977</v>
      </c>
      <c r="I10" s="51">
        <v>395</v>
      </c>
      <c r="J10" s="51">
        <v>290</v>
      </c>
      <c r="K10" s="51">
        <v>1662</v>
      </c>
      <c r="L10" s="51">
        <f t="shared" si="1"/>
        <v>-135</v>
      </c>
      <c r="M10" s="50">
        <f t="shared" si="2"/>
        <v>-8.1227436823104693</v>
      </c>
      <c r="N10" s="18"/>
      <c r="O10" s="18"/>
      <c r="P10" s="18"/>
      <c r="Q10" s="18"/>
      <c r="R10" s="18"/>
      <c r="S10" s="18"/>
      <c r="T10" s="18"/>
      <c r="U10" s="18"/>
      <c r="V10" s="18"/>
      <c r="W10" s="18"/>
      <c r="X10" s="18"/>
      <c r="Y10" s="18"/>
      <c r="Z10" s="18"/>
    </row>
    <row r="11" spans="1:26" ht="28.5" customHeight="1" x14ac:dyDescent="0.25">
      <c r="A11" s="11" t="s">
        <v>682</v>
      </c>
      <c r="B11" s="11" t="s">
        <v>683</v>
      </c>
      <c r="C11" s="11" t="s">
        <v>89</v>
      </c>
      <c r="D11" s="51">
        <v>1454</v>
      </c>
      <c r="E11" s="51">
        <v>568</v>
      </c>
      <c r="F11" s="51">
        <v>284</v>
      </c>
      <c r="G11" s="25">
        <f t="shared" si="0"/>
        <v>2306</v>
      </c>
      <c r="H11" s="51">
        <v>1611</v>
      </c>
      <c r="I11" s="51">
        <v>626</v>
      </c>
      <c r="J11" s="51">
        <v>312</v>
      </c>
      <c r="K11" s="51">
        <v>2549</v>
      </c>
      <c r="L11" s="51">
        <f t="shared" si="1"/>
        <v>-243</v>
      </c>
      <c r="M11" s="50">
        <f t="shared" si="2"/>
        <v>-9.5331502550019618</v>
      </c>
      <c r="N11" s="18"/>
      <c r="O11" s="18"/>
      <c r="P11" s="18"/>
      <c r="Q11" s="18"/>
      <c r="R11" s="18"/>
      <c r="S11" s="18"/>
      <c r="T11" s="18"/>
      <c r="U11" s="18"/>
      <c r="V11" s="18"/>
      <c r="W11" s="18"/>
      <c r="X11" s="18"/>
      <c r="Y11" s="18"/>
      <c r="Z11" s="18"/>
    </row>
    <row r="12" spans="1:26" ht="28.5" customHeight="1" x14ac:dyDescent="0.25">
      <c r="A12" s="11" t="s">
        <v>684</v>
      </c>
      <c r="B12" s="11" t="s">
        <v>685</v>
      </c>
      <c r="C12" s="11" t="s">
        <v>89</v>
      </c>
      <c r="D12" s="51">
        <v>387</v>
      </c>
      <c r="E12" s="51">
        <v>97</v>
      </c>
      <c r="F12" s="51">
        <v>11</v>
      </c>
      <c r="G12" s="25">
        <f t="shared" si="0"/>
        <v>495</v>
      </c>
      <c r="H12" s="51">
        <v>303</v>
      </c>
      <c r="I12" s="51">
        <v>56</v>
      </c>
      <c r="J12" s="51">
        <v>7</v>
      </c>
      <c r="K12" s="51">
        <v>366</v>
      </c>
      <c r="L12" s="51">
        <f t="shared" si="1"/>
        <v>129</v>
      </c>
      <c r="M12" s="50">
        <f t="shared" si="2"/>
        <v>35.245901639344261</v>
      </c>
      <c r="N12" s="18"/>
      <c r="O12" s="18"/>
      <c r="P12" s="18"/>
      <c r="Q12" s="18"/>
      <c r="R12" s="18"/>
      <c r="S12" s="18"/>
      <c r="T12" s="18"/>
      <c r="U12" s="18"/>
      <c r="V12" s="18"/>
      <c r="W12" s="18"/>
      <c r="X12" s="18"/>
      <c r="Y12" s="18"/>
      <c r="Z12" s="18"/>
    </row>
    <row r="13" spans="1:26" ht="28.5" customHeight="1" x14ac:dyDescent="0.25">
      <c r="A13" s="11" t="s">
        <v>686</v>
      </c>
      <c r="B13" s="11" t="s">
        <v>687</v>
      </c>
      <c r="C13" s="11" t="s">
        <v>89</v>
      </c>
      <c r="D13" s="51">
        <v>229</v>
      </c>
      <c r="E13" s="51">
        <v>130</v>
      </c>
      <c r="F13" s="51">
        <v>15</v>
      </c>
      <c r="G13" s="25">
        <f t="shared" si="0"/>
        <v>374</v>
      </c>
      <c r="H13" s="51">
        <v>47</v>
      </c>
      <c r="I13" s="51">
        <v>9</v>
      </c>
      <c r="J13" s="51">
        <v>0</v>
      </c>
      <c r="K13" s="51">
        <v>56</v>
      </c>
      <c r="L13" s="51">
        <f t="shared" si="1"/>
        <v>318</v>
      </c>
      <c r="M13" s="50">
        <f t="shared" si="2"/>
        <v>567.85714285714289</v>
      </c>
      <c r="N13" s="18"/>
      <c r="O13" s="18"/>
      <c r="P13" s="18"/>
      <c r="Q13" s="18"/>
      <c r="R13" s="18"/>
      <c r="S13" s="18"/>
      <c r="T13" s="18"/>
      <c r="U13" s="18"/>
      <c r="V13" s="18"/>
      <c r="W13" s="18"/>
      <c r="X13" s="18"/>
      <c r="Y13" s="18"/>
      <c r="Z13" s="18"/>
    </row>
    <row r="14" spans="1:26" ht="28.5" customHeight="1" x14ac:dyDescent="0.25">
      <c r="A14" s="11" t="s">
        <v>688</v>
      </c>
      <c r="B14" s="11" t="s">
        <v>689</v>
      </c>
      <c r="C14" s="11" t="s">
        <v>89</v>
      </c>
      <c r="D14" s="51">
        <v>1</v>
      </c>
      <c r="E14" s="51">
        <v>9</v>
      </c>
      <c r="F14" s="51">
        <v>21</v>
      </c>
      <c r="G14" s="25">
        <f t="shared" si="0"/>
        <v>31</v>
      </c>
      <c r="H14" s="51">
        <v>3</v>
      </c>
      <c r="I14" s="51">
        <v>23</v>
      </c>
      <c r="J14" s="51">
        <v>49</v>
      </c>
      <c r="K14" s="51">
        <v>75</v>
      </c>
      <c r="L14" s="51">
        <f t="shared" si="1"/>
        <v>-44</v>
      </c>
      <c r="M14" s="50">
        <f t="shared" si="2"/>
        <v>-58.666666666666664</v>
      </c>
      <c r="N14" s="18"/>
      <c r="O14" s="18"/>
      <c r="P14" s="18"/>
      <c r="Q14" s="18"/>
      <c r="R14" s="18"/>
      <c r="S14" s="18"/>
      <c r="T14" s="18"/>
      <c r="U14" s="18"/>
      <c r="V14" s="18"/>
      <c r="W14" s="18"/>
      <c r="X14" s="18"/>
      <c r="Y14" s="18"/>
      <c r="Z14" s="18"/>
    </row>
    <row r="15" spans="1:26" ht="28.5" customHeight="1" x14ac:dyDescent="0.25">
      <c r="A15" s="11" t="s">
        <v>690</v>
      </c>
      <c r="B15" s="11" t="s">
        <v>691</v>
      </c>
      <c r="C15" s="11" t="s">
        <v>89</v>
      </c>
      <c r="D15" s="51">
        <v>47</v>
      </c>
      <c r="E15" s="51">
        <v>27</v>
      </c>
      <c r="F15" s="51">
        <v>17</v>
      </c>
      <c r="G15" s="25">
        <f t="shared" si="0"/>
        <v>91</v>
      </c>
      <c r="H15" s="51">
        <v>53</v>
      </c>
      <c r="I15" s="51">
        <v>29</v>
      </c>
      <c r="J15" s="51">
        <v>15</v>
      </c>
      <c r="K15" s="51">
        <v>97</v>
      </c>
      <c r="L15" s="51">
        <f t="shared" si="1"/>
        <v>-6</v>
      </c>
      <c r="M15" s="50">
        <f t="shared" si="2"/>
        <v>-6.1855670103092786</v>
      </c>
      <c r="N15" s="18"/>
      <c r="O15" s="18"/>
      <c r="P15" s="18"/>
      <c r="Q15" s="18"/>
      <c r="R15" s="18"/>
      <c r="S15" s="18"/>
      <c r="T15" s="18"/>
      <c r="U15" s="18"/>
      <c r="V15" s="18"/>
      <c r="W15" s="18"/>
      <c r="X15" s="18"/>
      <c r="Y15" s="18"/>
      <c r="Z15" s="18"/>
    </row>
    <row r="16" spans="1:26" ht="28.5" customHeight="1" x14ac:dyDescent="0.25">
      <c r="A16" s="11" t="s">
        <v>692</v>
      </c>
      <c r="B16" s="11" t="s">
        <v>693</v>
      </c>
      <c r="C16" s="11" t="s">
        <v>89</v>
      </c>
      <c r="D16" s="51">
        <v>11</v>
      </c>
      <c r="E16" s="51">
        <v>0</v>
      </c>
      <c r="F16" s="51">
        <v>0</v>
      </c>
      <c r="G16" s="25">
        <f t="shared" si="0"/>
        <v>11</v>
      </c>
      <c r="H16" s="51">
        <v>0</v>
      </c>
      <c r="I16" s="51">
        <v>0</v>
      </c>
      <c r="J16" s="51">
        <v>0</v>
      </c>
      <c r="K16" s="51">
        <v>0</v>
      </c>
      <c r="L16" s="51">
        <f t="shared" si="1"/>
        <v>11</v>
      </c>
      <c r="M16" s="50" t="s">
        <v>67</v>
      </c>
      <c r="N16" s="18"/>
      <c r="O16" s="18"/>
      <c r="P16" s="18"/>
      <c r="Q16" s="18"/>
      <c r="R16" s="18"/>
      <c r="S16" s="18"/>
      <c r="T16" s="18"/>
      <c r="U16" s="18"/>
      <c r="V16" s="18"/>
      <c r="W16" s="18"/>
      <c r="X16" s="18"/>
      <c r="Y16" s="18"/>
      <c r="Z16" s="18"/>
    </row>
    <row r="17" spans="1:26" ht="28.5" customHeight="1" x14ac:dyDescent="0.25">
      <c r="A17" s="11" t="s">
        <v>694</v>
      </c>
      <c r="B17" s="11"/>
      <c r="C17" s="11" t="s">
        <v>89</v>
      </c>
      <c r="D17" s="51">
        <v>5</v>
      </c>
      <c r="E17" s="51">
        <v>14</v>
      </c>
      <c r="F17" s="51">
        <v>22</v>
      </c>
      <c r="G17" s="25">
        <f t="shared" si="0"/>
        <v>41</v>
      </c>
      <c r="H17" s="51">
        <v>10</v>
      </c>
      <c r="I17" s="51">
        <v>18</v>
      </c>
      <c r="J17" s="51">
        <v>21</v>
      </c>
      <c r="K17" s="51">
        <v>49</v>
      </c>
      <c r="L17" s="51">
        <f t="shared" si="1"/>
        <v>-8</v>
      </c>
      <c r="M17" s="50">
        <f t="shared" ref="M17:M22" si="3">(L17/K17)*100</f>
        <v>-16.326530612244898</v>
      </c>
      <c r="N17" s="18"/>
      <c r="O17" s="18"/>
      <c r="P17" s="18"/>
      <c r="Q17" s="18"/>
      <c r="R17" s="18"/>
      <c r="S17" s="18"/>
      <c r="T17" s="18"/>
      <c r="U17" s="18"/>
      <c r="V17" s="18"/>
      <c r="W17" s="18"/>
      <c r="X17" s="18"/>
      <c r="Y17" s="18"/>
      <c r="Z17" s="18"/>
    </row>
    <row r="18" spans="1:26" ht="28.5" customHeight="1" x14ac:dyDescent="0.25">
      <c r="A18" s="11" t="s">
        <v>695</v>
      </c>
      <c r="B18" s="11" t="s">
        <v>681</v>
      </c>
      <c r="C18" s="11" t="s">
        <v>89</v>
      </c>
      <c r="D18" s="51">
        <v>2941</v>
      </c>
      <c r="E18" s="51">
        <v>1163</v>
      </c>
      <c r="F18" s="51">
        <v>598</v>
      </c>
      <c r="G18" s="25">
        <f t="shared" si="0"/>
        <v>4702</v>
      </c>
      <c r="H18" s="51">
        <f t="shared" ref="H18:K18" si="4">H10+H11+H12+H13</f>
        <v>2938</v>
      </c>
      <c r="I18" s="51">
        <f t="shared" si="4"/>
        <v>1086</v>
      </c>
      <c r="J18" s="51">
        <f t="shared" si="4"/>
        <v>609</v>
      </c>
      <c r="K18" s="51">
        <f t="shared" si="4"/>
        <v>4633</v>
      </c>
      <c r="L18" s="51">
        <f t="shared" si="1"/>
        <v>69</v>
      </c>
      <c r="M18" s="50">
        <f t="shared" si="3"/>
        <v>1.4893157781135333</v>
      </c>
      <c r="N18" s="18"/>
      <c r="O18" s="18"/>
      <c r="P18" s="18"/>
      <c r="Q18" s="18"/>
      <c r="R18" s="18"/>
      <c r="S18" s="18"/>
      <c r="T18" s="18"/>
      <c r="U18" s="18"/>
      <c r="V18" s="18"/>
      <c r="W18" s="18"/>
      <c r="X18" s="18"/>
      <c r="Y18" s="18"/>
      <c r="Z18" s="18"/>
    </row>
    <row r="19" spans="1:26" ht="28.5" customHeight="1" x14ac:dyDescent="0.25">
      <c r="A19" s="26" t="s">
        <v>696</v>
      </c>
      <c r="B19" s="26"/>
      <c r="C19" s="147" t="s">
        <v>89</v>
      </c>
      <c r="D19" s="19">
        <v>3005</v>
      </c>
      <c r="E19" s="19">
        <v>1213</v>
      </c>
      <c r="F19" s="19">
        <v>658</v>
      </c>
      <c r="G19" s="22">
        <f t="shared" si="0"/>
        <v>4876</v>
      </c>
      <c r="H19" s="19">
        <f t="shared" ref="H19:K19" si="5">H18+H14+H15+H17</f>
        <v>3004</v>
      </c>
      <c r="I19" s="19">
        <f t="shared" si="5"/>
        <v>1156</v>
      </c>
      <c r="J19" s="19">
        <f t="shared" si="5"/>
        <v>694</v>
      </c>
      <c r="K19" s="19">
        <f t="shared" si="5"/>
        <v>4854</v>
      </c>
      <c r="L19" s="19">
        <f t="shared" si="1"/>
        <v>22</v>
      </c>
      <c r="M19" s="92">
        <f t="shared" si="3"/>
        <v>0.45323444581788219</v>
      </c>
      <c r="N19" s="18"/>
      <c r="O19" s="18"/>
      <c r="P19" s="18"/>
      <c r="Q19" s="18"/>
      <c r="R19" s="18"/>
      <c r="S19" s="18"/>
      <c r="T19" s="18"/>
      <c r="U19" s="18"/>
      <c r="V19" s="18"/>
      <c r="W19" s="18"/>
      <c r="X19" s="18"/>
      <c r="Y19" s="18"/>
      <c r="Z19" s="18"/>
    </row>
    <row r="20" spans="1:26" ht="28.5" customHeight="1" x14ac:dyDescent="0.25">
      <c r="A20" s="11" t="s">
        <v>697</v>
      </c>
      <c r="B20" s="11" t="s">
        <v>698</v>
      </c>
      <c r="C20" s="11" t="s">
        <v>92</v>
      </c>
      <c r="D20" s="51">
        <v>612</v>
      </c>
      <c r="E20" s="51">
        <v>56</v>
      </c>
      <c r="F20" s="51">
        <v>51</v>
      </c>
      <c r="G20" s="25">
        <f t="shared" si="0"/>
        <v>719</v>
      </c>
      <c r="H20" s="51">
        <v>535</v>
      </c>
      <c r="I20" s="51">
        <v>46</v>
      </c>
      <c r="J20" s="51">
        <v>32</v>
      </c>
      <c r="K20" s="51">
        <v>613</v>
      </c>
      <c r="L20" s="51">
        <f t="shared" si="1"/>
        <v>106</v>
      </c>
      <c r="M20" s="50">
        <f t="shared" si="3"/>
        <v>17.29200652528548</v>
      </c>
      <c r="N20" s="18"/>
      <c r="O20" s="18"/>
      <c r="P20" s="18"/>
      <c r="Q20" s="18"/>
      <c r="R20" s="18"/>
      <c r="S20" s="18"/>
      <c r="T20" s="18"/>
      <c r="U20" s="18"/>
      <c r="V20" s="18"/>
      <c r="W20" s="18"/>
      <c r="X20" s="18"/>
      <c r="Y20" s="18"/>
      <c r="Z20" s="18"/>
    </row>
    <row r="21" spans="1:26" ht="28.5" customHeight="1" x14ac:dyDescent="0.25">
      <c r="A21" s="26" t="s">
        <v>699</v>
      </c>
      <c r="B21" s="26"/>
      <c r="C21" s="26"/>
      <c r="D21" s="19">
        <v>612</v>
      </c>
      <c r="E21" s="19">
        <v>56</v>
      </c>
      <c r="F21" s="19">
        <v>59</v>
      </c>
      <c r="G21" s="22">
        <f t="shared" si="0"/>
        <v>727</v>
      </c>
      <c r="H21" s="19">
        <f t="shared" ref="H21:K21" si="6">H20</f>
        <v>535</v>
      </c>
      <c r="I21" s="19">
        <f t="shared" si="6"/>
        <v>46</v>
      </c>
      <c r="J21" s="19">
        <f t="shared" si="6"/>
        <v>32</v>
      </c>
      <c r="K21" s="19">
        <f t="shared" si="6"/>
        <v>613</v>
      </c>
      <c r="L21" s="19">
        <f t="shared" si="1"/>
        <v>114</v>
      </c>
      <c r="M21" s="92">
        <f t="shared" si="3"/>
        <v>18.59706362153344</v>
      </c>
      <c r="N21" s="18"/>
      <c r="O21" s="18"/>
      <c r="P21" s="18"/>
      <c r="Q21" s="18"/>
      <c r="R21" s="18"/>
      <c r="S21" s="18"/>
      <c r="T21" s="18"/>
      <c r="U21" s="18"/>
      <c r="V21" s="18"/>
      <c r="W21" s="18"/>
      <c r="X21" s="18"/>
      <c r="Y21" s="18"/>
      <c r="Z21" s="18"/>
    </row>
    <row r="22" spans="1:26" ht="28.5" customHeight="1" x14ac:dyDescent="0.25">
      <c r="A22" s="11" t="s">
        <v>700</v>
      </c>
      <c r="B22" s="11" t="s">
        <v>701</v>
      </c>
      <c r="C22" s="11" t="s">
        <v>49</v>
      </c>
      <c r="D22" s="51">
        <v>206</v>
      </c>
      <c r="E22" s="51">
        <v>128</v>
      </c>
      <c r="F22" s="51">
        <v>5</v>
      </c>
      <c r="G22" s="25">
        <f t="shared" si="0"/>
        <v>339</v>
      </c>
      <c r="H22" s="51">
        <v>134</v>
      </c>
      <c r="I22" s="51">
        <v>95</v>
      </c>
      <c r="J22" s="51">
        <v>0</v>
      </c>
      <c r="K22" s="51">
        <v>229</v>
      </c>
      <c r="L22" s="51">
        <f t="shared" si="1"/>
        <v>110</v>
      </c>
      <c r="M22" s="50">
        <f t="shared" si="3"/>
        <v>48.034934497816593</v>
      </c>
      <c r="N22" s="18"/>
      <c r="O22" s="18"/>
      <c r="P22" s="18"/>
      <c r="Q22" s="18"/>
      <c r="R22" s="18"/>
      <c r="S22" s="18"/>
      <c r="T22" s="18"/>
      <c r="U22" s="18"/>
      <c r="V22" s="18"/>
      <c r="W22" s="18"/>
      <c r="X22" s="18"/>
      <c r="Y22" s="18"/>
      <c r="Z22" s="18"/>
    </row>
    <row r="23" spans="1:26" ht="28.5" customHeight="1" x14ac:dyDescent="0.25">
      <c r="A23" s="11" t="s">
        <v>702</v>
      </c>
      <c r="B23" s="11" t="s">
        <v>703</v>
      </c>
      <c r="C23" s="11" t="s">
        <v>49</v>
      </c>
      <c r="D23" s="51">
        <v>5</v>
      </c>
      <c r="E23" s="51">
        <v>8</v>
      </c>
      <c r="F23" s="51">
        <v>0</v>
      </c>
      <c r="G23" s="25">
        <f t="shared" si="0"/>
        <v>13</v>
      </c>
      <c r="H23" s="51">
        <v>0</v>
      </c>
      <c r="I23" s="51">
        <v>0</v>
      </c>
      <c r="J23" s="51">
        <v>0</v>
      </c>
      <c r="K23" s="51">
        <v>0</v>
      </c>
      <c r="L23" s="51">
        <f t="shared" si="1"/>
        <v>13</v>
      </c>
      <c r="M23" s="50" t="s">
        <v>67</v>
      </c>
      <c r="N23" s="18"/>
      <c r="O23" s="18"/>
      <c r="P23" s="18"/>
      <c r="Q23" s="18"/>
      <c r="R23" s="18"/>
      <c r="S23" s="18"/>
      <c r="T23" s="18"/>
      <c r="U23" s="18"/>
      <c r="V23" s="18"/>
      <c r="W23" s="18"/>
      <c r="X23" s="18"/>
      <c r="Y23" s="18"/>
      <c r="Z23" s="18"/>
    </row>
    <row r="24" spans="1:26" ht="28.5" customHeight="1" x14ac:dyDescent="0.25">
      <c r="A24" s="26" t="s">
        <v>198</v>
      </c>
      <c r="B24" s="26"/>
      <c r="C24" s="147" t="s">
        <v>49</v>
      </c>
      <c r="D24" s="19">
        <v>231</v>
      </c>
      <c r="E24" s="19">
        <v>136</v>
      </c>
      <c r="F24" s="19">
        <v>5</v>
      </c>
      <c r="G24" s="22">
        <f t="shared" si="0"/>
        <v>372</v>
      </c>
      <c r="H24" s="19">
        <f t="shared" ref="H24:K24" si="7">H22</f>
        <v>134</v>
      </c>
      <c r="I24" s="19">
        <f t="shared" si="7"/>
        <v>95</v>
      </c>
      <c r="J24" s="19">
        <f t="shared" si="7"/>
        <v>0</v>
      </c>
      <c r="K24" s="19">
        <f t="shared" si="7"/>
        <v>229</v>
      </c>
      <c r="L24" s="19">
        <f t="shared" si="1"/>
        <v>143</v>
      </c>
      <c r="M24" s="92">
        <f t="shared" ref="M24:M62" si="8">(L24/K24)*100</f>
        <v>62.445414847161572</v>
      </c>
      <c r="N24" s="54"/>
      <c r="O24" s="54"/>
      <c r="P24" s="54"/>
      <c r="Q24" s="54"/>
      <c r="R24" s="54"/>
      <c r="S24" s="54"/>
      <c r="T24" s="54"/>
      <c r="U24" s="54"/>
      <c r="V24" s="54"/>
      <c r="W24" s="54"/>
      <c r="X24" s="54"/>
      <c r="Y24" s="54"/>
      <c r="Z24" s="54"/>
    </row>
    <row r="25" spans="1:26" ht="28.5" customHeight="1" x14ac:dyDescent="0.25">
      <c r="A25" s="26" t="s">
        <v>704</v>
      </c>
      <c r="B25" s="30"/>
      <c r="C25" s="30"/>
      <c r="D25" s="22">
        <v>5962</v>
      </c>
      <c r="E25" s="22">
        <v>2349</v>
      </c>
      <c r="F25" s="22">
        <v>1413</v>
      </c>
      <c r="G25" s="22">
        <f t="shared" si="0"/>
        <v>9724</v>
      </c>
      <c r="H25" s="22">
        <f t="shared" ref="H25:K25" si="9">H24+H21+H19+H9</f>
        <v>5415</v>
      </c>
      <c r="I25" s="22">
        <f t="shared" si="9"/>
        <v>2080</v>
      </c>
      <c r="J25" s="22">
        <f t="shared" si="9"/>
        <v>1282</v>
      </c>
      <c r="K25" s="22">
        <f t="shared" si="9"/>
        <v>8777</v>
      </c>
      <c r="L25" s="19">
        <f t="shared" si="1"/>
        <v>947</v>
      </c>
      <c r="M25" s="92">
        <f t="shared" si="8"/>
        <v>10.789563632220576</v>
      </c>
      <c r="N25" s="18"/>
      <c r="O25" s="18"/>
      <c r="P25" s="18"/>
      <c r="Q25" s="18"/>
      <c r="R25" s="18"/>
      <c r="S25" s="18"/>
      <c r="T25" s="18"/>
      <c r="U25" s="18"/>
      <c r="V25" s="18"/>
      <c r="W25" s="18"/>
      <c r="X25" s="18"/>
      <c r="Y25" s="18"/>
      <c r="Z25" s="18"/>
    </row>
    <row r="26" spans="1:26" ht="28.5" customHeight="1" x14ac:dyDescent="0.25">
      <c r="A26" s="11" t="s">
        <v>705</v>
      </c>
      <c r="B26" s="24" t="s">
        <v>706</v>
      </c>
      <c r="C26" s="24" t="s">
        <v>221</v>
      </c>
      <c r="D26" s="25">
        <v>434</v>
      </c>
      <c r="E26" s="25">
        <v>449</v>
      </c>
      <c r="F26" s="25">
        <v>652</v>
      </c>
      <c r="G26" s="25">
        <f t="shared" si="0"/>
        <v>1535</v>
      </c>
      <c r="H26" s="25">
        <v>502</v>
      </c>
      <c r="I26" s="25">
        <v>502</v>
      </c>
      <c r="J26" s="25">
        <v>726</v>
      </c>
      <c r="K26" s="25">
        <v>1730</v>
      </c>
      <c r="L26" s="51">
        <f t="shared" si="1"/>
        <v>-195</v>
      </c>
      <c r="M26" s="50">
        <f t="shared" si="8"/>
        <v>-11.271676300578035</v>
      </c>
      <c r="N26" s="18"/>
      <c r="O26" s="18"/>
      <c r="P26" s="18"/>
      <c r="Q26" s="18"/>
      <c r="R26" s="18"/>
      <c r="S26" s="18"/>
      <c r="T26" s="18"/>
      <c r="U26" s="18"/>
      <c r="V26" s="18"/>
      <c r="W26" s="18"/>
      <c r="X26" s="18"/>
      <c r="Y26" s="18"/>
      <c r="Z26" s="18"/>
    </row>
    <row r="27" spans="1:26" ht="28.5" customHeight="1" x14ac:dyDescent="0.25">
      <c r="A27" s="11" t="s">
        <v>707</v>
      </c>
      <c r="B27" s="24" t="s">
        <v>708</v>
      </c>
      <c r="C27" s="24" t="s">
        <v>221</v>
      </c>
      <c r="D27" s="25">
        <v>183</v>
      </c>
      <c r="E27" s="25">
        <v>80</v>
      </c>
      <c r="F27" s="25">
        <v>156</v>
      </c>
      <c r="G27" s="25">
        <f t="shared" si="0"/>
        <v>419</v>
      </c>
      <c r="H27" s="25">
        <v>368</v>
      </c>
      <c r="I27" s="25">
        <v>88</v>
      </c>
      <c r="J27" s="25">
        <v>173</v>
      </c>
      <c r="K27" s="25">
        <v>629</v>
      </c>
      <c r="L27" s="51">
        <f t="shared" si="1"/>
        <v>-210</v>
      </c>
      <c r="M27" s="50">
        <f t="shared" si="8"/>
        <v>-33.386327503974563</v>
      </c>
      <c r="N27" s="18"/>
      <c r="O27" s="18"/>
      <c r="P27" s="18"/>
      <c r="Q27" s="18"/>
      <c r="R27" s="18"/>
      <c r="S27" s="18"/>
      <c r="T27" s="18"/>
      <c r="U27" s="18"/>
      <c r="V27" s="18"/>
      <c r="W27" s="18"/>
      <c r="X27" s="18"/>
      <c r="Y27" s="18"/>
      <c r="Z27" s="18"/>
    </row>
    <row r="28" spans="1:26" ht="28.5" customHeight="1" x14ac:dyDescent="0.25">
      <c r="A28" s="11" t="s">
        <v>709</v>
      </c>
      <c r="B28" s="24" t="s">
        <v>710</v>
      </c>
      <c r="C28" s="24" t="s">
        <v>221</v>
      </c>
      <c r="D28" s="25">
        <v>430</v>
      </c>
      <c r="E28" s="25">
        <v>116</v>
      </c>
      <c r="F28" s="25">
        <v>239</v>
      </c>
      <c r="G28" s="25">
        <f t="shared" si="0"/>
        <v>785</v>
      </c>
      <c r="H28" s="25">
        <v>547</v>
      </c>
      <c r="I28" s="25">
        <v>120</v>
      </c>
      <c r="J28" s="25">
        <v>271</v>
      </c>
      <c r="K28" s="25">
        <v>938</v>
      </c>
      <c r="L28" s="51">
        <f t="shared" si="1"/>
        <v>-153</v>
      </c>
      <c r="M28" s="50">
        <f t="shared" si="8"/>
        <v>-16.31130063965885</v>
      </c>
      <c r="N28" s="18"/>
      <c r="O28" s="18"/>
      <c r="P28" s="18"/>
      <c r="Q28" s="18"/>
      <c r="R28" s="18"/>
      <c r="S28" s="18"/>
      <c r="T28" s="18"/>
      <c r="U28" s="18"/>
      <c r="V28" s="18"/>
      <c r="W28" s="18"/>
      <c r="X28" s="18"/>
      <c r="Y28" s="18"/>
      <c r="Z28" s="18"/>
    </row>
    <row r="29" spans="1:26" ht="28.5" customHeight="1" x14ac:dyDescent="0.25">
      <c r="A29" s="11" t="s">
        <v>711</v>
      </c>
      <c r="B29" s="24" t="s">
        <v>673</v>
      </c>
      <c r="C29" s="24" t="s">
        <v>221</v>
      </c>
      <c r="D29" s="25">
        <v>0</v>
      </c>
      <c r="E29" s="25">
        <v>66</v>
      </c>
      <c r="F29" s="25">
        <v>231</v>
      </c>
      <c r="G29" s="25">
        <f t="shared" si="0"/>
        <v>297</v>
      </c>
      <c r="H29" s="25">
        <v>-2</v>
      </c>
      <c r="I29" s="25">
        <v>69</v>
      </c>
      <c r="J29" s="25">
        <v>257</v>
      </c>
      <c r="K29" s="25">
        <v>324</v>
      </c>
      <c r="L29" s="51">
        <f t="shared" si="1"/>
        <v>-27</v>
      </c>
      <c r="M29" s="50">
        <f t="shared" si="8"/>
        <v>-8.3333333333333321</v>
      </c>
      <c r="N29" s="18"/>
      <c r="O29" s="18"/>
      <c r="P29" s="18"/>
      <c r="Q29" s="18"/>
      <c r="R29" s="18"/>
      <c r="S29" s="18"/>
      <c r="T29" s="18"/>
      <c r="U29" s="18"/>
      <c r="V29" s="18"/>
      <c r="W29" s="18"/>
      <c r="X29" s="18"/>
      <c r="Y29" s="18"/>
      <c r="Z29" s="18"/>
    </row>
    <row r="30" spans="1:26" ht="28.5" customHeight="1" x14ac:dyDescent="0.25">
      <c r="A30" s="11" t="s">
        <v>23</v>
      </c>
      <c r="B30" s="11"/>
      <c r="C30" s="11"/>
      <c r="D30" s="51">
        <v>1</v>
      </c>
      <c r="E30" s="51">
        <v>27</v>
      </c>
      <c r="F30" s="51">
        <v>187</v>
      </c>
      <c r="G30" s="25">
        <f t="shared" si="0"/>
        <v>215</v>
      </c>
      <c r="H30" s="51">
        <v>0</v>
      </c>
      <c r="I30" s="51">
        <v>28</v>
      </c>
      <c r="J30" s="51">
        <v>251</v>
      </c>
      <c r="K30" s="51">
        <v>279</v>
      </c>
      <c r="L30" s="51">
        <f t="shared" si="1"/>
        <v>-64</v>
      </c>
      <c r="M30" s="50">
        <f t="shared" si="8"/>
        <v>-22.939068100358423</v>
      </c>
      <c r="N30" s="18"/>
      <c r="O30" s="18"/>
      <c r="P30" s="18"/>
      <c r="Q30" s="18"/>
      <c r="R30" s="18"/>
      <c r="S30" s="18"/>
      <c r="T30" s="18"/>
      <c r="U30" s="18"/>
      <c r="V30" s="18"/>
      <c r="W30" s="18"/>
      <c r="X30" s="18"/>
      <c r="Y30" s="18"/>
      <c r="Z30" s="18"/>
    </row>
    <row r="31" spans="1:26" ht="28.5" customHeight="1" x14ac:dyDescent="0.25">
      <c r="A31" s="11" t="s">
        <v>56</v>
      </c>
      <c r="B31" s="11"/>
      <c r="C31" s="11" t="s">
        <v>56</v>
      </c>
      <c r="D31" s="51">
        <v>1</v>
      </c>
      <c r="E31" s="51">
        <v>140</v>
      </c>
      <c r="F31" s="51">
        <v>284</v>
      </c>
      <c r="G31" s="25">
        <f t="shared" si="0"/>
        <v>425</v>
      </c>
      <c r="H31" s="51">
        <v>3</v>
      </c>
      <c r="I31" s="51">
        <v>159</v>
      </c>
      <c r="J31" s="51">
        <v>283</v>
      </c>
      <c r="K31" s="51">
        <v>445</v>
      </c>
      <c r="L31" s="51">
        <f t="shared" si="1"/>
        <v>-20</v>
      </c>
      <c r="M31" s="50">
        <f t="shared" si="8"/>
        <v>-4.4943820224719104</v>
      </c>
      <c r="N31" s="18"/>
      <c r="O31" s="18"/>
      <c r="P31" s="18"/>
      <c r="Q31" s="18"/>
      <c r="R31" s="18"/>
      <c r="S31" s="18"/>
      <c r="T31" s="18"/>
      <c r="U31" s="18"/>
      <c r="V31" s="18"/>
      <c r="W31" s="18"/>
      <c r="X31" s="18"/>
      <c r="Y31" s="18"/>
      <c r="Z31" s="18"/>
    </row>
    <row r="32" spans="1:26" ht="28.5" customHeight="1" x14ac:dyDescent="0.25">
      <c r="A32" s="11" t="s">
        <v>712</v>
      </c>
      <c r="B32" s="11" t="s">
        <v>713</v>
      </c>
      <c r="C32" s="32" t="s">
        <v>89</v>
      </c>
      <c r="D32" s="51">
        <v>0</v>
      </c>
      <c r="E32" s="51">
        <v>145</v>
      </c>
      <c r="F32" s="51">
        <v>345</v>
      </c>
      <c r="G32" s="25">
        <f t="shared" si="0"/>
        <v>490</v>
      </c>
      <c r="H32" s="51">
        <v>0</v>
      </c>
      <c r="I32" s="51">
        <v>172</v>
      </c>
      <c r="J32" s="51">
        <v>430</v>
      </c>
      <c r="K32" s="51">
        <v>602</v>
      </c>
      <c r="L32" s="51">
        <f t="shared" si="1"/>
        <v>-112</v>
      </c>
      <c r="M32" s="50">
        <f t="shared" si="8"/>
        <v>-18.604651162790699</v>
      </c>
      <c r="N32" s="18"/>
      <c r="O32" s="18"/>
      <c r="P32" s="18"/>
      <c r="Q32" s="18"/>
      <c r="R32" s="18"/>
      <c r="S32" s="18"/>
      <c r="T32" s="18"/>
      <c r="U32" s="18"/>
      <c r="V32" s="18"/>
      <c r="W32" s="18"/>
      <c r="X32" s="18"/>
      <c r="Y32" s="18"/>
      <c r="Z32" s="18"/>
    </row>
    <row r="33" spans="1:26" ht="28.5" customHeight="1" x14ac:dyDescent="0.25">
      <c r="A33" s="11" t="s">
        <v>714</v>
      </c>
      <c r="B33" s="11" t="s">
        <v>715</v>
      </c>
      <c r="C33" s="11" t="s">
        <v>258</v>
      </c>
      <c r="D33" s="51">
        <v>5</v>
      </c>
      <c r="E33" s="51">
        <v>158</v>
      </c>
      <c r="F33" s="51">
        <v>303</v>
      </c>
      <c r="G33" s="25">
        <f t="shared" si="0"/>
        <v>466</v>
      </c>
      <c r="H33" s="51">
        <v>4</v>
      </c>
      <c r="I33" s="51">
        <v>208</v>
      </c>
      <c r="J33" s="51">
        <v>362</v>
      </c>
      <c r="K33" s="51">
        <v>574</v>
      </c>
      <c r="L33" s="51">
        <f t="shared" si="1"/>
        <v>-108</v>
      </c>
      <c r="M33" s="50">
        <f t="shared" si="8"/>
        <v>-18.815331010452962</v>
      </c>
      <c r="N33" s="18"/>
      <c r="O33" s="18"/>
      <c r="P33" s="18"/>
      <c r="Q33" s="18"/>
      <c r="R33" s="18"/>
      <c r="S33" s="18"/>
      <c r="T33" s="18"/>
      <c r="U33" s="18"/>
      <c r="V33" s="18"/>
      <c r="W33" s="18"/>
      <c r="X33" s="18"/>
      <c r="Y33" s="18"/>
      <c r="Z33" s="18"/>
    </row>
    <row r="34" spans="1:26" ht="28.5" customHeight="1" x14ac:dyDescent="0.25">
      <c r="A34" s="11" t="s">
        <v>716</v>
      </c>
      <c r="B34" s="11" t="s">
        <v>717</v>
      </c>
      <c r="C34" s="11" t="s">
        <v>62</v>
      </c>
      <c r="D34" s="51">
        <v>42</v>
      </c>
      <c r="E34" s="51">
        <v>51</v>
      </c>
      <c r="F34" s="51">
        <v>25</v>
      </c>
      <c r="G34" s="25">
        <f t="shared" si="0"/>
        <v>118</v>
      </c>
      <c r="H34" s="51">
        <v>59</v>
      </c>
      <c r="I34" s="51">
        <v>52</v>
      </c>
      <c r="J34" s="51">
        <v>27</v>
      </c>
      <c r="K34" s="51">
        <v>138</v>
      </c>
      <c r="L34" s="51">
        <f t="shared" si="1"/>
        <v>-20</v>
      </c>
      <c r="M34" s="50">
        <f t="shared" si="8"/>
        <v>-14.492753623188406</v>
      </c>
      <c r="N34" s="18"/>
      <c r="O34" s="18"/>
      <c r="P34" s="18"/>
      <c r="Q34" s="18"/>
      <c r="R34" s="18"/>
      <c r="S34" s="18"/>
      <c r="T34" s="18"/>
      <c r="U34" s="18"/>
      <c r="V34" s="18"/>
      <c r="W34" s="18"/>
      <c r="X34" s="18"/>
      <c r="Y34" s="18"/>
      <c r="Z34" s="18"/>
    </row>
    <row r="35" spans="1:26" ht="28.5" customHeight="1" x14ac:dyDescent="0.25">
      <c r="A35" s="11" t="s">
        <v>718</v>
      </c>
      <c r="B35" s="11" t="s">
        <v>719</v>
      </c>
      <c r="C35" s="11" t="s">
        <v>62</v>
      </c>
      <c r="D35" s="51">
        <v>269</v>
      </c>
      <c r="E35" s="51">
        <v>120</v>
      </c>
      <c r="F35" s="51">
        <v>148</v>
      </c>
      <c r="G35" s="25">
        <f t="shared" si="0"/>
        <v>537</v>
      </c>
      <c r="H35" s="51">
        <v>284</v>
      </c>
      <c r="I35" s="51">
        <v>112</v>
      </c>
      <c r="J35" s="51">
        <v>170</v>
      </c>
      <c r="K35" s="51">
        <v>566</v>
      </c>
      <c r="L35" s="51">
        <f t="shared" si="1"/>
        <v>-29</v>
      </c>
      <c r="M35" s="50">
        <f t="shared" si="8"/>
        <v>-5.1236749116607774</v>
      </c>
      <c r="N35" s="18"/>
      <c r="O35" s="18"/>
      <c r="P35" s="18"/>
      <c r="Q35" s="18"/>
      <c r="R35" s="18"/>
      <c r="S35" s="18"/>
      <c r="T35" s="18"/>
      <c r="U35" s="18"/>
      <c r="V35" s="18"/>
      <c r="W35" s="18"/>
      <c r="X35" s="18"/>
      <c r="Y35" s="18"/>
      <c r="Z35" s="18"/>
    </row>
    <row r="36" spans="1:26" ht="28.5" customHeight="1" x14ac:dyDescent="0.25">
      <c r="A36" s="11" t="s">
        <v>720</v>
      </c>
      <c r="B36" s="11" t="s">
        <v>721</v>
      </c>
      <c r="C36" s="11" t="s">
        <v>62</v>
      </c>
      <c r="D36" s="51">
        <v>0</v>
      </c>
      <c r="E36" s="51">
        <v>37</v>
      </c>
      <c r="F36" s="51">
        <v>109</v>
      </c>
      <c r="G36" s="25">
        <f t="shared" si="0"/>
        <v>146</v>
      </c>
      <c r="H36" s="51">
        <v>0</v>
      </c>
      <c r="I36" s="51">
        <v>37</v>
      </c>
      <c r="J36" s="51">
        <v>123</v>
      </c>
      <c r="K36" s="51">
        <v>160</v>
      </c>
      <c r="L36" s="51">
        <f t="shared" si="1"/>
        <v>-14</v>
      </c>
      <c r="M36" s="50">
        <f t="shared" si="8"/>
        <v>-8.75</v>
      </c>
      <c r="N36" s="18"/>
      <c r="O36" s="18"/>
      <c r="P36" s="18"/>
      <c r="Q36" s="18"/>
      <c r="R36" s="18"/>
      <c r="S36" s="18"/>
      <c r="T36" s="18"/>
      <c r="U36" s="18"/>
      <c r="V36" s="18"/>
      <c r="W36" s="18"/>
      <c r="X36" s="18"/>
      <c r="Y36" s="18"/>
      <c r="Z36" s="18"/>
    </row>
    <row r="37" spans="1:26" ht="28.5" customHeight="1" x14ac:dyDescent="0.25">
      <c r="A37" s="11" t="s">
        <v>722</v>
      </c>
      <c r="B37" s="11" t="s">
        <v>723</v>
      </c>
      <c r="C37" s="11" t="s">
        <v>89</v>
      </c>
      <c r="D37" s="51">
        <v>15</v>
      </c>
      <c r="E37" s="51">
        <v>32</v>
      </c>
      <c r="F37" s="51">
        <v>56</v>
      </c>
      <c r="G37" s="25">
        <f t="shared" si="0"/>
        <v>103</v>
      </c>
      <c r="H37" s="51">
        <v>14</v>
      </c>
      <c r="I37" s="51">
        <v>31</v>
      </c>
      <c r="J37" s="51">
        <v>62</v>
      </c>
      <c r="K37" s="51">
        <v>107</v>
      </c>
      <c r="L37" s="51">
        <f t="shared" si="1"/>
        <v>-4</v>
      </c>
      <c r="M37" s="50">
        <f t="shared" si="8"/>
        <v>-3.7383177570093453</v>
      </c>
      <c r="N37" s="18"/>
      <c r="O37" s="18"/>
      <c r="P37" s="18"/>
      <c r="Q37" s="18"/>
      <c r="R37" s="18"/>
      <c r="S37" s="18"/>
      <c r="T37" s="18"/>
      <c r="U37" s="18"/>
      <c r="V37" s="18"/>
      <c r="W37" s="18"/>
      <c r="X37" s="18"/>
      <c r="Y37" s="18"/>
      <c r="Z37" s="18"/>
    </row>
    <row r="38" spans="1:26" ht="28.5" customHeight="1" x14ac:dyDescent="0.25">
      <c r="A38" s="11" t="s">
        <v>23</v>
      </c>
      <c r="B38" s="11"/>
      <c r="C38" s="11"/>
      <c r="D38" s="51">
        <v>109</v>
      </c>
      <c r="E38" s="51">
        <v>334</v>
      </c>
      <c r="F38" s="51">
        <v>1353</v>
      </c>
      <c r="G38" s="25">
        <f t="shared" si="0"/>
        <v>1796</v>
      </c>
      <c r="H38" s="51">
        <v>208</v>
      </c>
      <c r="I38" s="51">
        <v>466</v>
      </c>
      <c r="J38" s="51">
        <v>1610</v>
      </c>
      <c r="K38" s="51">
        <v>2284</v>
      </c>
      <c r="L38" s="51">
        <f t="shared" si="1"/>
        <v>-488</v>
      </c>
      <c r="M38" s="50">
        <f t="shared" si="8"/>
        <v>-21.366024518388791</v>
      </c>
      <c r="N38" s="18"/>
      <c r="O38" s="18"/>
      <c r="P38" s="18"/>
      <c r="Q38" s="18"/>
      <c r="R38" s="18"/>
      <c r="S38" s="18"/>
      <c r="T38" s="18"/>
      <c r="U38" s="18"/>
      <c r="V38" s="18"/>
      <c r="W38" s="18"/>
      <c r="X38" s="18"/>
      <c r="Y38" s="18"/>
      <c r="Z38" s="18"/>
    </row>
    <row r="39" spans="1:26" ht="28.5" customHeight="1" x14ac:dyDescent="0.25">
      <c r="A39" s="26" t="s">
        <v>724</v>
      </c>
      <c r="B39" s="26"/>
      <c r="C39" s="147" t="s">
        <v>221</v>
      </c>
      <c r="D39" s="19">
        <v>1048</v>
      </c>
      <c r="E39" s="19">
        <v>738</v>
      </c>
      <c r="F39" s="19">
        <v>1465</v>
      </c>
      <c r="G39" s="22">
        <f t="shared" si="0"/>
        <v>3251</v>
      </c>
      <c r="H39" s="19">
        <v>1415</v>
      </c>
      <c r="I39" s="19">
        <v>807</v>
      </c>
      <c r="J39" s="19">
        <v>1678</v>
      </c>
      <c r="K39" s="19">
        <v>3900</v>
      </c>
      <c r="L39" s="19">
        <f t="shared" si="1"/>
        <v>-649</v>
      </c>
      <c r="M39" s="92">
        <f t="shared" si="8"/>
        <v>-16.641025641025642</v>
      </c>
      <c r="N39" s="54"/>
      <c r="O39" s="54"/>
      <c r="P39" s="54"/>
      <c r="Q39" s="54"/>
      <c r="R39" s="54"/>
      <c r="S39" s="54"/>
      <c r="T39" s="54"/>
      <c r="U39" s="54"/>
      <c r="V39" s="54"/>
      <c r="W39" s="54"/>
      <c r="X39" s="54"/>
      <c r="Y39" s="54"/>
      <c r="Z39" s="54"/>
    </row>
    <row r="40" spans="1:26" ht="28.5" customHeight="1" x14ac:dyDescent="0.25">
      <c r="A40" s="26" t="s">
        <v>725</v>
      </c>
      <c r="B40" s="26"/>
      <c r="C40" s="26"/>
      <c r="D40" s="19">
        <v>1489</v>
      </c>
      <c r="E40" s="19">
        <v>1755</v>
      </c>
      <c r="F40" s="19">
        <v>4088</v>
      </c>
      <c r="G40" s="22">
        <f t="shared" si="0"/>
        <v>7332</v>
      </c>
      <c r="H40" s="19">
        <v>1987</v>
      </c>
      <c r="I40" s="19">
        <v>2044</v>
      </c>
      <c r="J40" s="19">
        <v>4745</v>
      </c>
      <c r="K40" s="19">
        <v>8776</v>
      </c>
      <c r="L40" s="19">
        <f t="shared" si="1"/>
        <v>-1444</v>
      </c>
      <c r="M40" s="92">
        <f t="shared" si="8"/>
        <v>-16.453965360072925</v>
      </c>
      <c r="N40" s="18"/>
      <c r="O40" s="18"/>
      <c r="P40" s="18"/>
      <c r="Q40" s="18"/>
      <c r="R40" s="18"/>
      <c r="S40" s="18"/>
      <c r="T40" s="18"/>
      <c r="U40" s="18"/>
      <c r="V40" s="18"/>
      <c r="W40" s="18"/>
      <c r="X40" s="18"/>
      <c r="Y40" s="18"/>
      <c r="Z40" s="18"/>
    </row>
    <row r="41" spans="1:26" ht="28.5" customHeight="1" x14ac:dyDescent="0.25">
      <c r="A41" s="26" t="s">
        <v>301</v>
      </c>
      <c r="B41" s="26"/>
      <c r="C41" s="26"/>
      <c r="D41" s="19">
        <v>7451</v>
      </c>
      <c r="E41" s="19">
        <v>4104</v>
      </c>
      <c r="F41" s="19">
        <v>5501</v>
      </c>
      <c r="G41" s="22">
        <f t="shared" si="0"/>
        <v>17056</v>
      </c>
      <c r="H41" s="19">
        <v>7402</v>
      </c>
      <c r="I41" s="19">
        <v>4125</v>
      </c>
      <c r="J41" s="19">
        <v>6027</v>
      </c>
      <c r="K41" s="19">
        <v>17554</v>
      </c>
      <c r="L41" s="19">
        <f t="shared" si="1"/>
        <v>-498</v>
      </c>
      <c r="M41" s="92">
        <f t="shared" si="8"/>
        <v>-2.8369602369830238</v>
      </c>
      <c r="N41" s="18"/>
      <c r="O41" s="18"/>
      <c r="P41" s="18"/>
      <c r="Q41" s="18"/>
      <c r="R41" s="18"/>
      <c r="S41" s="18"/>
      <c r="T41" s="18"/>
      <c r="U41" s="18"/>
      <c r="V41" s="18"/>
      <c r="W41" s="18"/>
      <c r="X41" s="18"/>
      <c r="Y41" s="18"/>
      <c r="Z41" s="18"/>
    </row>
    <row r="42" spans="1:26" ht="28.5" customHeight="1" x14ac:dyDescent="0.25">
      <c r="A42" s="11" t="s">
        <v>726</v>
      </c>
      <c r="B42" s="11" t="s">
        <v>727</v>
      </c>
      <c r="C42" s="11" t="s">
        <v>239</v>
      </c>
      <c r="D42" s="51">
        <v>260</v>
      </c>
      <c r="E42" s="51">
        <v>324</v>
      </c>
      <c r="F42" s="51">
        <v>66</v>
      </c>
      <c r="G42" s="25">
        <f t="shared" si="0"/>
        <v>650</v>
      </c>
      <c r="H42" s="51">
        <v>260</v>
      </c>
      <c r="I42" s="51">
        <v>319</v>
      </c>
      <c r="J42" s="51">
        <v>100</v>
      </c>
      <c r="K42" s="51">
        <v>679</v>
      </c>
      <c r="L42" s="51">
        <f t="shared" si="1"/>
        <v>-29</v>
      </c>
      <c r="M42" s="50">
        <f t="shared" si="8"/>
        <v>-4.2709867452135493</v>
      </c>
      <c r="N42" s="18"/>
      <c r="O42" s="18"/>
      <c r="P42" s="18"/>
      <c r="Q42" s="18"/>
      <c r="R42" s="18"/>
      <c r="S42" s="18"/>
      <c r="T42" s="18"/>
      <c r="U42" s="18"/>
      <c r="V42" s="18"/>
      <c r="W42" s="18"/>
      <c r="X42" s="18"/>
      <c r="Y42" s="18"/>
      <c r="Z42" s="18"/>
    </row>
    <row r="43" spans="1:26" ht="28.5" customHeight="1" x14ac:dyDescent="0.25">
      <c r="A43" s="11" t="s">
        <v>728</v>
      </c>
      <c r="B43" s="11" t="s">
        <v>727</v>
      </c>
      <c r="C43" s="11" t="s">
        <v>239</v>
      </c>
      <c r="D43" s="51">
        <v>173</v>
      </c>
      <c r="E43" s="51">
        <v>26</v>
      </c>
      <c r="F43" s="51">
        <v>66</v>
      </c>
      <c r="G43" s="25">
        <f t="shared" si="0"/>
        <v>265</v>
      </c>
      <c r="H43" s="51">
        <v>170</v>
      </c>
      <c r="I43" s="51">
        <v>18</v>
      </c>
      <c r="J43" s="51">
        <v>79</v>
      </c>
      <c r="K43" s="51">
        <v>267</v>
      </c>
      <c r="L43" s="51">
        <f t="shared" si="1"/>
        <v>-2</v>
      </c>
      <c r="M43" s="50">
        <f t="shared" si="8"/>
        <v>-0.74906367041198507</v>
      </c>
      <c r="N43" s="18"/>
      <c r="O43" s="18"/>
      <c r="P43" s="18"/>
      <c r="Q43" s="18"/>
      <c r="R43" s="18"/>
      <c r="S43" s="18"/>
      <c r="T43" s="18"/>
      <c r="U43" s="18"/>
      <c r="V43" s="18"/>
      <c r="W43" s="18"/>
      <c r="X43" s="18"/>
      <c r="Y43" s="18"/>
      <c r="Z43" s="18"/>
    </row>
    <row r="44" spans="1:26" ht="28.5" customHeight="1" x14ac:dyDescent="0.25">
      <c r="A44" s="11" t="s">
        <v>177</v>
      </c>
      <c r="B44" s="11"/>
      <c r="C44" s="11" t="s">
        <v>239</v>
      </c>
      <c r="D44" s="51">
        <v>0</v>
      </c>
      <c r="E44" s="51">
        <v>6</v>
      </c>
      <c r="F44" s="51">
        <v>108</v>
      </c>
      <c r="G44" s="25">
        <f t="shared" si="0"/>
        <v>114</v>
      </c>
      <c r="H44" s="51">
        <v>0</v>
      </c>
      <c r="I44" s="51">
        <v>6</v>
      </c>
      <c r="J44" s="51">
        <v>66</v>
      </c>
      <c r="K44" s="51">
        <v>72</v>
      </c>
      <c r="L44" s="51">
        <f t="shared" si="1"/>
        <v>42</v>
      </c>
      <c r="M44" s="50">
        <f t="shared" si="8"/>
        <v>58.333333333333336</v>
      </c>
      <c r="N44" s="18"/>
      <c r="O44" s="18"/>
      <c r="P44" s="18"/>
      <c r="Q44" s="18"/>
      <c r="R44" s="18"/>
      <c r="S44" s="18"/>
      <c r="T44" s="18"/>
      <c r="U44" s="18"/>
      <c r="V44" s="18"/>
      <c r="W44" s="18"/>
      <c r="X44" s="18"/>
      <c r="Y44" s="18"/>
      <c r="Z44" s="18"/>
    </row>
    <row r="45" spans="1:26" ht="28.5" customHeight="1" x14ac:dyDescent="0.25">
      <c r="A45" s="26" t="s">
        <v>729</v>
      </c>
      <c r="B45" s="26"/>
      <c r="C45" s="147" t="s">
        <v>239</v>
      </c>
      <c r="D45" s="19">
        <v>433</v>
      </c>
      <c r="E45" s="19">
        <v>356</v>
      </c>
      <c r="F45" s="19">
        <v>240</v>
      </c>
      <c r="G45" s="22">
        <f t="shared" si="0"/>
        <v>1029</v>
      </c>
      <c r="H45" s="19">
        <v>430</v>
      </c>
      <c r="I45" s="19">
        <v>343</v>
      </c>
      <c r="J45" s="19">
        <v>245</v>
      </c>
      <c r="K45" s="19">
        <v>1018</v>
      </c>
      <c r="L45" s="19">
        <f t="shared" si="1"/>
        <v>11</v>
      </c>
      <c r="M45" s="92">
        <f t="shared" si="8"/>
        <v>1.080550098231827</v>
      </c>
      <c r="N45" s="18"/>
      <c r="O45" s="18"/>
      <c r="P45" s="18"/>
      <c r="Q45" s="18"/>
      <c r="R45" s="18"/>
      <c r="S45" s="18"/>
      <c r="T45" s="18"/>
      <c r="U45" s="18"/>
      <c r="V45" s="18"/>
      <c r="W45" s="18"/>
      <c r="X45" s="18"/>
      <c r="Y45" s="18"/>
      <c r="Z45" s="18"/>
    </row>
    <row r="46" spans="1:26" ht="28.5" customHeight="1" x14ac:dyDescent="0.25">
      <c r="A46" s="11" t="s">
        <v>730</v>
      </c>
      <c r="B46" s="11" t="s">
        <v>731</v>
      </c>
      <c r="C46" s="11" t="s">
        <v>239</v>
      </c>
      <c r="D46" s="51">
        <v>535</v>
      </c>
      <c r="E46" s="51">
        <v>98</v>
      </c>
      <c r="F46" s="51">
        <v>100</v>
      </c>
      <c r="G46" s="25">
        <f t="shared" si="0"/>
        <v>733</v>
      </c>
      <c r="H46" s="51">
        <v>412</v>
      </c>
      <c r="I46" s="51">
        <v>56</v>
      </c>
      <c r="J46" s="51">
        <v>73</v>
      </c>
      <c r="K46" s="51">
        <v>541</v>
      </c>
      <c r="L46" s="51">
        <f t="shared" si="1"/>
        <v>192</v>
      </c>
      <c r="M46" s="50">
        <f t="shared" si="8"/>
        <v>35.489833641404807</v>
      </c>
      <c r="N46" s="18"/>
      <c r="O46" s="18"/>
      <c r="P46" s="18"/>
      <c r="Q46" s="18"/>
      <c r="R46" s="18"/>
      <c r="S46" s="18"/>
      <c r="T46" s="18"/>
      <c r="U46" s="18"/>
      <c r="V46" s="18"/>
      <c r="W46" s="18"/>
      <c r="X46" s="18"/>
      <c r="Y46" s="18"/>
      <c r="Z46" s="18"/>
    </row>
    <row r="47" spans="1:26" ht="28.5" customHeight="1" x14ac:dyDescent="0.25">
      <c r="A47" s="26" t="s">
        <v>732</v>
      </c>
      <c r="B47" s="26"/>
      <c r="C47" s="147" t="s">
        <v>239</v>
      </c>
      <c r="D47" s="19">
        <v>535</v>
      </c>
      <c r="E47" s="19">
        <v>98</v>
      </c>
      <c r="F47" s="19">
        <v>100</v>
      </c>
      <c r="G47" s="22">
        <f t="shared" si="0"/>
        <v>733</v>
      </c>
      <c r="H47" s="19">
        <f t="shared" ref="H47:K47" si="10">H46</f>
        <v>412</v>
      </c>
      <c r="I47" s="19">
        <f t="shared" si="10"/>
        <v>56</v>
      </c>
      <c r="J47" s="19">
        <f t="shared" si="10"/>
        <v>73</v>
      </c>
      <c r="K47" s="19">
        <f t="shared" si="10"/>
        <v>541</v>
      </c>
      <c r="L47" s="19">
        <f t="shared" si="1"/>
        <v>192</v>
      </c>
      <c r="M47" s="92">
        <f t="shared" si="8"/>
        <v>35.489833641404807</v>
      </c>
      <c r="N47" s="18"/>
      <c r="O47" s="18"/>
      <c r="P47" s="18"/>
      <c r="Q47" s="18"/>
      <c r="R47" s="18"/>
      <c r="S47" s="18"/>
      <c r="T47" s="18"/>
      <c r="U47" s="18"/>
      <c r="V47" s="18"/>
      <c r="W47" s="18"/>
      <c r="X47" s="18"/>
      <c r="Y47" s="18"/>
      <c r="Z47" s="18"/>
    </row>
    <row r="48" spans="1:26" ht="28.5" customHeight="1" x14ac:dyDescent="0.25">
      <c r="A48" s="11" t="s">
        <v>733</v>
      </c>
      <c r="B48" s="11" t="s">
        <v>734</v>
      </c>
      <c r="C48" s="11" t="s">
        <v>239</v>
      </c>
      <c r="D48" s="51">
        <v>1675</v>
      </c>
      <c r="E48" s="51">
        <v>186</v>
      </c>
      <c r="F48" s="51">
        <v>128</v>
      </c>
      <c r="G48" s="25">
        <f t="shared" si="0"/>
        <v>1989</v>
      </c>
      <c r="H48" s="51">
        <v>1669</v>
      </c>
      <c r="I48" s="51">
        <v>54</v>
      </c>
      <c r="J48" s="51">
        <v>87</v>
      </c>
      <c r="K48" s="51">
        <v>1810</v>
      </c>
      <c r="L48" s="51">
        <f t="shared" si="1"/>
        <v>179</v>
      </c>
      <c r="M48" s="50">
        <f t="shared" si="8"/>
        <v>9.88950276243094</v>
      </c>
      <c r="N48" s="18"/>
      <c r="O48" s="18"/>
      <c r="P48" s="18"/>
      <c r="Q48" s="18"/>
      <c r="R48" s="18"/>
      <c r="S48" s="18"/>
      <c r="T48" s="18"/>
      <c r="U48" s="18"/>
      <c r="V48" s="18"/>
      <c r="W48" s="18"/>
      <c r="X48" s="18"/>
      <c r="Y48" s="18"/>
      <c r="Z48" s="18"/>
    </row>
    <row r="49" spans="1:26" ht="28.5" customHeight="1" x14ac:dyDescent="0.25">
      <c r="A49" s="26" t="s">
        <v>735</v>
      </c>
      <c r="B49" s="26"/>
      <c r="C49" s="147" t="s">
        <v>239</v>
      </c>
      <c r="D49" s="19">
        <v>1675</v>
      </c>
      <c r="E49" s="19">
        <v>186</v>
      </c>
      <c r="F49" s="19">
        <v>128</v>
      </c>
      <c r="G49" s="22">
        <f t="shared" si="0"/>
        <v>1989</v>
      </c>
      <c r="H49" s="19">
        <f t="shared" ref="H49:K49" si="11">H48</f>
        <v>1669</v>
      </c>
      <c r="I49" s="19">
        <f t="shared" si="11"/>
        <v>54</v>
      </c>
      <c r="J49" s="19">
        <f t="shared" si="11"/>
        <v>87</v>
      </c>
      <c r="K49" s="19">
        <f t="shared" si="11"/>
        <v>1810</v>
      </c>
      <c r="L49" s="19">
        <f t="shared" si="1"/>
        <v>179</v>
      </c>
      <c r="M49" s="92">
        <f t="shared" si="8"/>
        <v>9.88950276243094</v>
      </c>
      <c r="N49" s="18"/>
      <c r="O49" s="18"/>
      <c r="P49" s="18"/>
      <c r="Q49" s="18"/>
      <c r="R49" s="18"/>
      <c r="S49" s="18"/>
      <c r="T49" s="18"/>
      <c r="U49" s="18"/>
      <c r="V49" s="18"/>
      <c r="W49" s="18"/>
      <c r="X49" s="18"/>
      <c r="Y49" s="18"/>
      <c r="Z49" s="18"/>
    </row>
    <row r="50" spans="1:26" ht="28.5" customHeight="1" x14ac:dyDescent="0.25">
      <c r="A50" s="11" t="s">
        <v>736</v>
      </c>
      <c r="B50" s="11" t="s">
        <v>737</v>
      </c>
      <c r="C50" s="11" t="s">
        <v>239</v>
      </c>
      <c r="D50" s="51">
        <v>311</v>
      </c>
      <c r="E50" s="51">
        <v>174</v>
      </c>
      <c r="F50" s="49">
        <v>144</v>
      </c>
      <c r="G50" s="25">
        <f>D50+E50+F42</f>
        <v>551</v>
      </c>
      <c r="H50" s="51">
        <v>360</v>
      </c>
      <c r="I50" s="51">
        <v>213</v>
      </c>
      <c r="J50" s="51">
        <v>160</v>
      </c>
      <c r="K50" s="51">
        <v>733</v>
      </c>
      <c r="L50" s="51">
        <f t="shared" si="1"/>
        <v>-182</v>
      </c>
      <c r="M50" s="50">
        <f t="shared" si="8"/>
        <v>-24.829467939972716</v>
      </c>
      <c r="N50" s="18"/>
      <c r="O50" s="18"/>
      <c r="P50" s="18"/>
      <c r="Q50" s="18"/>
      <c r="R50" s="18"/>
      <c r="S50" s="18"/>
      <c r="T50" s="18"/>
      <c r="U50" s="18"/>
      <c r="V50" s="18"/>
      <c r="W50" s="18"/>
      <c r="X50" s="18"/>
      <c r="Y50" s="18"/>
      <c r="Z50" s="18"/>
    </row>
    <row r="51" spans="1:26" ht="28.5" customHeight="1" x14ac:dyDescent="0.25">
      <c r="A51" s="11" t="s">
        <v>738</v>
      </c>
      <c r="B51" s="11" t="s">
        <v>737</v>
      </c>
      <c r="C51" s="11" t="s">
        <v>239</v>
      </c>
      <c r="D51" s="51">
        <v>257</v>
      </c>
      <c r="E51" s="51">
        <v>140</v>
      </c>
      <c r="F51" s="51">
        <v>79</v>
      </c>
      <c r="G51" s="25">
        <f t="shared" ref="G51:G59" si="12">D51+E51+F51</f>
        <v>476</v>
      </c>
      <c r="H51" s="51">
        <v>299</v>
      </c>
      <c r="I51" s="51">
        <v>156</v>
      </c>
      <c r="J51" s="51">
        <v>129</v>
      </c>
      <c r="K51" s="51">
        <v>584</v>
      </c>
      <c r="L51" s="51">
        <f t="shared" si="1"/>
        <v>-108</v>
      </c>
      <c r="M51" s="50">
        <f t="shared" si="8"/>
        <v>-18.493150684931507</v>
      </c>
      <c r="N51" s="18"/>
      <c r="O51" s="18"/>
      <c r="P51" s="18"/>
      <c r="Q51" s="18"/>
      <c r="R51" s="18"/>
      <c r="S51" s="18"/>
      <c r="T51" s="18"/>
      <c r="U51" s="18"/>
      <c r="V51" s="18"/>
      <c r="W51" s="18"/>
      <c r="X51" s="18"/>
      <c r="Y51" s="18"/>
      <c r="Z51" s="18"/>
    </row>
    <row r="52" spans="1:26" ht="28.5" customHeight="1" x14ac:dyDescent="0.25">
      <c r="A52" s="11" t="s">
        <v>739</v>
      </c>
      <c r="B52" s="11" t="s">
        <v>239</v>
      </c>
      <c r="C52" s="11" t="s">
        <v>239</v>
      </c>
      <c r="D52" s="51">
        <v>333</v>
      </c>
      <c r="E52" s="51">
        <v>140</v>
      </c>
      <c r="F52" s="51">
        <v>103</v>
      </c>
      <c r="G52" s="25">
        <f t="shared" si="12"/>
        <v>576</v>
      </c>
      <c r="H52" s="51">
        <v>529</v>
      </c>
      <c r="I52" s="51">
        <v>231</v>
      </c>
      <c r="J52" s="51">
        <v>114</v>
      </c>
      <c r="K52" s="51">
        <v>874</v>
      </c>
      <c r="L52" s="51">
        <f t="shared" si="1"/>
        <v>-298</v>
      </c>
      <c r="M52" s="50">
        <f t="shared" si="8"/>
        <v>-34.096109839816933</v>
      </c>
      <c r="N52" s="18"/>
      <c r="O52" s="18"/>
      <c r="P52" s="18"/>
      <c r="Q52" s="18"/>
      <c r="R52" s="18"/>
      <c r="S52" s="18"/>
      <c r="T52" s="18"/>
      <c r="U52" s="18"/>
      <c r="V52" s="18"/>
      <c r="W52" s="18"/>
      <c r="X52" s="18"/>
      <c r="Y52" s="18"/>
      <c r="Z52" s="18"/>
    </row>
    <row r="53" spans="1:26" ht="28.5" customHeight="1" x14ac:dyDescent="0.25">
      <c r="A53" s="11" t="s">
        <v>740</v>
      </c>
      <c r="B53" s="11" t="s">
        <v>239</v>
      </c>
      <c r="C53" s="11" t="s">
        <v>239</v>
      </c>
      <c r="D53" s="51">
        <v>123</v>
      </c>
      <c r="E53" s="51">
        <v>119</v>
      </c>
      <c r="F53" s="51">
        <v>317</v>
      </c>
      <c r="G53" s="25">
        <f t="shared" si="12"/>
        <v>559</v>
      </c>
      <c r="H53" s="51">
        <v>140</v>
      </c>
      <c r="I53" s="51">
        <v>112</v>
      </c>
      <c r="J53" s="51">
        <v>306</v>
      </c>
      <c r="K53" s="51">
        <v>558</v>
      </c>
      <c r="L53" s="51">
        <f t="shared" si="1"/>
        <v>1</v>
      </c>
      <c r="M53" s="50">
        <f t="shared" si="8"/>
        <v>0.17921146953405018</v>
      </c>
      <c r="N53" s="18"/>
      <c r="O53" s="18"/>
      <c r="P53" s="18"/>
      <c r="Q53" s="18"/>
      <c r="R53" s="18"/>
      <c r="S53" s="18"/>
      <c r="T53" s="18"/>
      <c r="U53" s="18"/>
      <c r="V53" s="18"/>
      <c r="W53" s="18"/>
      <c r="X53" s="18"/>
      <c r="Y53" s="18"/>
      <c r="Z53" s="18"/>
    </row>
    <row r="54" spans="1:26" ht="28.5" customHeight="1" x14ac:dyDescent="0.25">
      <c r="A54" s="11" t="s">
        <v>741</v>
      </c>
      <c r="B54" s="11" t="s">
        <v>239</v>
      </c>
      <c r="C54" s="11" t="s">
        <v>239</v>
      </c>
      <c r="D54" s="51">
        <v>0</v>
      </c>
      <c r="E54" s="51">
        <v>53</v>
      </c>
      <c r="F54" s="51">
        <v>349</v>
      </c>
      <c r="G54" s="25">
        <f t="shared" si="12"/>
        <v>402</v>
      </c>
      <c r="H54" s="51">
        <v>0</v>
      </c>
      <c r="I54" s="51">
        <v>54</v>
      </c>
      <c r="J54" s="51">
        <v>414</v>
      </c>
      <c r="K54" s="51">
        <v>468</v>
      </c>
      <c r="L54" s="51">
        <f t="shared" si="1"/>
        <v>-66</v>
      </c>
      <c r="M54" s="50">
        <f t="shared" si="8"/>
        <v>-14.102564102564102</v>
      </c>
      <c r="N54" s="18"/>
      <c r="O54" s="18"/>
      <c r="P54" s="18"/>
      <c r="Q54" s="18"/>
      <c r="R54" s="18"/>
      <c r="S54" s="18"/>
      <c r="T54" s="18"/>
      <c r="U54" s="18"/>
      <c r="V54" s="18"/>
      <c r="W54" s="18"/>
      <c r="X54" s="18"/>
      <c r="Y54" s="18"/>
      <c r="Z54" s="18"/>
    </row>
    <row r="55" spans="1:26" ht="28.5" customHeight="1" x14ac:dyDescent="0.25">
      <c r="A55" s="11" t="s">
        <v>742</v>
      </c>
      <c r="B55" s="11" t="s">
        <v>239</v>
      </c>
      <c r="C55" s="11" t="s">
        <v>239</v>
      </c>
      <c r="D55" s="51">
        <v>0</v>
      </c>
      <c r="E55" s="51">
        <v>126</v>
      </c>
      <c r="F55" s="51">
        <v>135</v>
      </c>
      <c r="G55" s="25">
        <f t="shared" si="12"/>
        <v>261</v>
      </c>
      <c r="H55" s="51">
        <v>0</v>
      </c>
      <c r="I55" s="51">
        <v>100</v>
      </c>
      <c r="J55" s="51">
        <v>132</v>
      </c>
      <c r="K55" s="51">
        <v>232</v>
      </c>
      <c r="L55" s="51">
        <f t="shared" si="1"/>
        <v>29</v>
      </c>
      <c r="M55" s="50">
        <f t="shared" si="8"/>
        <v>12.5</v>
      </c>
      <c r="N55" s="18"/>
      <c r="O55" s="18"/>
      <c r="P55" s="18"/>
      <c r="Q55" s="18"/>
      <c r="R55" s="18"/>
      <c r="S55" s="18"/>
      <c r="T55" s="18"/>
      <c r="U55" s="18"/>
      <c r="V55" s="18"/>
      <c r="W55" s="18"/>
      <c r="X55" s="18"/>
      <c r="Y55" s="18"/>
      <c r="Z55" s="18"/>
    </row>
    <row r="56" spans="1:26" ht="28.5" customHeight="1" x14ac:dyDescent="0.25">
      <c r="A56" s="11" t="s">
        <v>743</v>
      </c>
      <c r="B56" s="11" t="s">
        <v>744</v>
      </c>
      <c r="C56" s="11" t="s">
        <v>239</v>
      </c>
      <c r="D56" s="51">
        <v>0</v>
      </c>
      <c r="E56" s="51">
        <v>30</v>
      </c>
      <c r="F56" s="51">
        <v>109</v>
      </c>
      <c r="G56" s="25">
        <f t="shared" si="12"/>
        <v>139</v>
      </c>
      <c r="H56" s="51">
        <v>0</v>
      </c>
      <c r="I56" s="51">
        <v>21</v>
      </c>
      <c r="J56" s="51">
        <v>29</v>
      </c>
      <c r="K56" s="51">
        <v>50</v>
      </c>
      <c r="L56" s="51">
        <f t="shared" si="1"/>
        <v>89</v>
      </c>
      <c r="M56" s="50">
        <f t="shared" si="8"/>
        <v>178</v>
      </c>
      <c r="N56" s="18"/>
      <c r="O56" s="18"/>
      <c r="P56" s="18"/>
      <c r="Q56" s="18"/>
      <c r="R56" s="18"/>
      <c r="S56" s="18"/>
      <c r="T56" s="18"/>
      <c r="U56" s="18"/>
      <c r="V56" s="18"/>
      <c r="W56" s="18"/>
      <c r="X56" s="18"/>
      <c r="Y56" s="18"/>
      <c r="Z56" s="18"/>
    </row>
    <row r="57" spans="1:26" ht="28.5" customHeight="1" x14ac:dyDescent="0.25">
      <c r="A57" s="11" t="s">
        <v>23</v>
      </c>
      <c r="B57" s="11"/>
      <c r="C57" s="11" t="s">
        <v>239</v>
      </c>
      <c r="D57" s="51">
        <v>30</v>
      </c>
      <c r="E57" s="51">
        <v>19</v>
      </c>
      <c r="F57" s="51">
        <v>140</v>
      </c>
      <c r="G57" s="25">
        <f t="shared" si="12"/>
        <v>189</v>
      </c>
      <c r="H57" s="51">
        <v>66</v>
      </c>
      <c r="I57" s="51">
        <v>148</v>
      </c>
      <c r="J57" s="51">
        <v>75</v>
      </c>
      <c r="K57" s="51">
        <v>289</v>
      </c>
      <c r="L57" s="51">
        <f t="shared" si="1"/>
        <v>-100</v>
      </c>
      <c r="M57" s="50">
        <f t="shared" si="8"/>
        <v>-34.602076124567475</v>
      </c>
      <c r="N57" s="18"/>
      <c r="O57" s="18"/>
      <c r="P57" s="18"/>
      <c r="Q57" s="18"/>
      <c r="R57" s="18"/>
      <c r="S57" s="18"/>
      <c r="T57" s="18"/>
      <c r="U57" s="18"/>
      <c r="V57" s="18"/>
      <c r="W57" s="18"/>
      <c r="X57" s="18"/>
      <c r="Y57" s="18"/>
      <c r="Z57" s="18"/>
    </row>
    <row r="58" spans="1:26" ht="28.5" customHeight="1" x14ac:dyDescent="0.25">
      <c r="A58" s="26" t="s">
        <v>745</v>
      </c>
      <c r="B58" s="26"/>
      <c r="C58" s="147" t="s">
        <v>239</v>
      </c>
      <c r="D58" s="19">
        <v>1054</v>
      </c>
      <c r="E58" s="19">
        <v>801</v>
      </c>
      <c r="F58" s="19">
        <v>1376</v>
      </c>
      <c r="G58" s="22">
        <f t="shared" si="12"/>
        <v>3231</v>
      </c>
      <c r="H58" s="19">
        <v>1394</v>
      </c>
      <c r="I58" s="19">
        <v>1035</v>
      </c>
      <c r="J58" s="19">
        <v>1359</v>
      </c>
      <c r="K58" s="19">
        <v>3788</v>
      </c>
      <c r="L58" s="19">
        <f t="shared" si="1"/>
        <v>-557</v>
      </c>
      <c r="M58" s="92">
        <f t="shared" si="8"/>
        <v>-14.704329461457233</v>
      </c>
      <c r="N58" s="18"/>
      <c r="O58" s="18"/>
      <c r="P58" s="18"/>
      <c r="Q58" s="18"/>
      <c r="R58" s="18"/>
      <c r="S58" s="18"/>
      <c r="T58" s="18"/>
      <c r="U58" s="18"/>
      <c r="V58" s="18"/>
      <c r="W58" s="18"/>
      <c r="X58" s="18"/>
      <c r="Y58" s="18"/>
      <c r="Z58" s="18"/>
    </row>
    <row r="59" spans="1:26" ht="28.5" customHeight="1" x14ac:dyDescent="0.25">
      <c r="A59" s="26" t="s">
        <v>746</v>
      </c>
      <c r="B59" s="26"/>
      <c r="C59" s="147" t="s">
        <v>239</v>
      </c>
      <c r="D59" s="19">
        <v>3697</v>
      </c>
      <c r="E59" s="19">
        <v>1441</v>
      </c>
      <c r="F59" s="19">
        <v>1844</v>
      </c>
      <c r="G59" s="22">
        <f t="shared" si="12"/>
        <v>6982</v>
      </c>
      <c r="H59" s="19">
        <v>3905</v>
      </c>
      <c r="I59" s="19">
        <v>1488</v>
      </c>
      <c r="J59" s="19">
        <v>1764</v>
      </c>
      <c r="K59" s="19">
        <v>7157</v>
      </c>
      <c r="L59" s="19">
        <f t="shared" si="1"/>
        <v>-175</v>
      </c>
      <c r="M59" s="92">
        <f t="shared" si="8"/>
        <v>-2.4451585859997205</v>
      </c>
      <c r="N59" s="18"/>
      <c r="O59" s="18"/>
      <c r="P59" s="18"/>
      <c r="Q59" s="18"/>
      <c r="R59" s="18"/>
      <c r="S59" s="18"/>
      <c r="T59" s="18"/>
      <c r="U59" s="18"/>
      <c r="V59" s="18"/>
      <c r="W59" s="18"/>
      <c r="X59" s="18"/>
      <c r="Y59" s="18"/>
      <c r="Z59" s="18"/>
    </row>
    <row r="60" spans="1:26" ht="28.5" customHeight="1" x14ac:dyDescent="0.25">
      <c r="A60" s="26" t="s">
        <v>747</v>
      </c>
      <c r="B60" s="26"/>
      <c r="C60" s="26"/>
      <c r="D60" s="19"/>
      <c r="E60" s="19"/>
      <c r="F60" s="19"/>
      <c r="G60" s="19">
        <v>10033</v>
      </c>
      <c r="H60" s="19">
        <v>2583</v>
      </c>
      <c r="I60" s="19">
        <v>2456</v>
      </c>
      <c r="J60" s="19">
        <v>3956</v>
      </c>
      <c r="K60" s="19">
        <v>8995</v>
      </c>
      <c r="L60" s="19">
        <f t="shared" si="1"/>
        <v>1038</v>
      </c>
      <c r="M60" s="92">
        <f t="shared" si="8"/>
        <v>11.539744302390217</v>
      </c>
      <c r="N60" s="18"/>
      <c r="O60" s="18"/>
      <c r="P60" s="18"/>
      <c r="Q60" s="18"/>
      <c r="R60" s="18"/>
      <c r="S60" s="18"/>
      <c r="T60" s="18"/>
      <c r="U60" s="18"/>
      <c r="V60" s="18"/>
      <c r="W60" s="18"/>
      <c r="X60" s="18"/>
      <c r="Y60" s="18"/>
      <c r="Z60" s="18"/>
    </row>
    <row r="61" spans="1:26" ht="28.5" customHeight="1" x14ac:dyDescent="0.25">
      <c r="A61" s="144" t="s">
        <v>748</v>
      </c>
      <c r="B61" s="144"/>
      <c r="C61" s="144"/>
      <c r="D61" s="96"/>
      <c r="E61" s="96"/>
      <c r="F61" s="96"/>
      <c r="G61" s="96"/>
      <c r="H61" s="96">
        <v>0</v>
      </c>
      <c r="I61" s="96">
        <v>0</v>
      </c>
      <c r="J61" s="96">
        <v>0</v>
      </c>
      <c r="K61" s="96">
        <v>48</v>
      </c>
      <c r="L61" s="51">
        <f t="shared" si="1"/>
        <v>-48</v>
      </c>
      <c r="M61" s="50">
        <f t="shared" si="8"/>
        <v>-100</v>
      </c>
      <c r="N61" s="18"/>
      <c r="O61" s="18"/>
      <c r="P61" s="18"/>
      <c r="Q61" s="18"/>
      <c r="R61" s="18"/>
      <c r="S61" s="18"/>
      <c r="T61" s="18"/>
      <c r="U61" s="18"/>
      <c r="V61" s="18"/>
      <c r="W61" s="18"/>
      <c r="X61" s="18"/>
      <c r="Y61" s="18"/>
      <c r="Z61" s="18"/>
    </row>
    <row r="62" spans="1:26" ht="28.5" customHeight="1" x14ac:dyDescent="0.25">
      <c r="A62" s="26" t="s">
        <v>38</v>
      </c>
      <c r="B62" s="26"/>
      <c r="C62" s="26"/>
      <c r="D62" s="19"/>
      <c r="E62" s="19"/>
      <c r="F62" s="19"/>
      <c r="G62" s="19">
        <v>34099</v>
      </c>
      <c r="H62" s="19">
        <f t="shared" ref="H62:J62" si="13">H59+H60+H41</f>
        <v>13890</v>
      </c>
      <c r="I62" s="19">
        <f t="shared" si="13"/>
        <v>8069</v>
      </c>
      <c r="J62" s="19">
        <f t="shared" si="13"/>
        <v>11747</v>
      </c>
      <c r="K62" s="19">
        <v>33754</v>
      </c>
      <c r="L62" s="19">
        <f t="shared" si="1"/>
        <v>345</v>
      </c>
      <c r="M62" s="92">
        <f t="shared" si="8"/>
        <v>1.0221010843159331</v>
      </c>
      <c r="N62" s="18"/>
      <c r="O62" s="18"/>
      <c r="P62" s="18"/>
      <c r="Q62" s="18"/>
      <c r="R62" s="18"/>
      <c r="S62" s="18"/>
      <c r="T62" s="18"/>
      <c r="U62" s="18"/>
      <c r="V62" s="18"/>
      <c r="W62" s="18"/>
      <c r="X62" s="18"/>
      <c r="Y62" s="18"/>
      <c r="Z62" s="18"/>
    </row>
  </sheetData>
  <pageMargins left="0.7" right="0.7" top="0.75" bottom="0.75" header="0" footer="0"/>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2A5DB0"/>
    <outlinePr summaryBelow="0" summaryRight="0"/>
  </sheetPr>
  <dimension ref="A1:Z11"/>
  <sheetViews>
    <sheetView workbookViewId="0">
      <pane ySplit="1" topLeftCell="A2" activePane="bottomLeft" state="frozen"/>
      <selection pane="bottomLeft"/>
    </sheetView>
  </sheetViews>
  <sheetFormatPr defaultColWidth="14.44140625" defaultRowHeight="15.75" customHeight="1" x14ac:dyDescent="0.25"/>
  <cols>
    <col min="1" max="1" width="35" customWidth="1"/>
    <col min="2" max="3" width="27.33203125" customWidth="1"/>
    <col min="4" max="4" width="22.44140625" customWidth="1"/>
    <col min="5" max="5" width="21.88671875" customWidth="1"/>
    <col min="6" max="6" width="20.44140625" customWidth="1"/>
    <col min="7" max="7" width="19.88671875" customWidth="1"/>
  </cols>
  <sheetData>
    <row r="1" spans="1:26" ht="34.5" customHeight="1" x14ac:dyDescent="0.3">
      <c r="A1" s="282" t="s">
        <v>1749</v>
      </c>
      <c r="B1" s="283" t="s">
        <v>10</v>
      </c>
      <c r="C1" s="283" t="s">
        <v>11</v>
      </c>
      <c r="D1" s="284" t="s">
        <v>1680</v>
      </c>
      <c r="E1" s="283" t="s">
        <v>1681</v>
      </c>
      <c r="F1" s="283" t="s">
        <v>1682</v>
      </c>
      <c r="G1" s="285" t="s">
        <v>1702</v>
      </c>
      <c r="H1" s="125"/>
      <c r="I1" s="125"/>
      <c r="J1" s="125"/>
      <c r="K1" s="125"/>
      <c r="L1" s="125"/>
      <c r="M1" s="125"/>
      <c r="N1" s="125"/>
      <c r="O1" s="125"/>
      <c r="P1" s="125"/>
      <c r="Q1" s="125"/>
      <c r="R1" s="125"/>
      <c r="S1" s="125"/>
      <c r="T1" s="125"/>
      <c r="U1" s="125"/>
      <c r="V1" s="125"/>
      <c r="W1" s="125"/>
      <c r="X1" s="125"/>
      <c r="Y1" s="125"/>
      <c r="Z1" s="125"/>
    </row>
    <row r="2" spans="1:26" ht="28.5" customHeight="1" x14ac:dyDescent="0.3">
      <c r="A2" s="2" t="s">
        <v>1750</v>
      </c>
      <c r="B2" s="2" t="s">
        <v>363</v>
      </c>
      <c r="C2" s="2" t="s">
        <v>169</v>
      </c>
      <c r="D2" s="3">
        <v>287</v>
      </c>
      <c r="E2" s="157">
        <v>293</v>
      </c>
      <c r="F2" s="3">
        <f t="shared" ref="F2:F11" si="0">D2-E2</f>
        <v>-6</v>
      </c>
      <c r="G2" s="3">
        <f t="shared" ref="G2:G11" si="1">(F2/E2)*100</f>
        <v>-2.0477815699658701</v>
      </c>
      <c r="H2" s="158"/>
      <c r="I2" s="158"/>
      <c r="J2" s="158"/>
      <c r="K2" s="158"/>
      <c r="L2" s="158"/>
      <c r="M2" s="158"/>
      <c r="N2" s="158"/>
      <c r="O2" s="158"/>
      <c r="P2" s="158"/>
      <c r="Q2" s="158"/>
      <c r="R2" s="158"/>
      <c r="S2" s="158"/>
      <c r="T2" s="158"/>
      <c r="U2" s="158"/>
      <c r="V2" s="158"/>
      <c r="W2" s="158"/>
      <c r="X2" s="158"/>
      <c r="Y2" s="158"/>
      <c r="Z2" s="158"/>
    </row>
    <row r="3" spans="1:26" ht="28.5" customHeight="1" x14ac:dyDescent="0.3">
      <c r="A3" s="2" t="s">
        <v>799</v>
      </c>
      <c r="B3" s="2"/>
      <c r="C3" s="2"/>
      <c r="D3" s="3">
        <v>70</v>
      </c>
      <c r="E3" s="157">
        <v>42</v>
      </c>
      <c r="F3" s="3">
        <f t="shared" si="0"/>
        <v>28</v>
      </c>
      <c r="G3" s="3">
        <f t="shared" si="1"/>
        <v>66.666666666666657</v>
      </c>
      <c r="H3" s="158"/>
      <c r="I3" s="158"/>
      <c r="J3" s="158"/>
      <c r="K3" s="158"/>
      <c r="L3" s="158"/>
      <c r="M3" s="158"/>
      <c r="N3" s="158"/>
      <c r="O3" s="158"/>
      <c r="P3" s="158"/>
      <c r="Q3" s="158"/>
      <c r="R3" s="158"/>
      <c r="S3" s="158"/>
      <c r="T3" s="158"/>
      <c r="U3" s="158"/>
      <c r="V3" s="158"/>
      <c r="W3" s="158"/>
      <c r="X3" s="158"/>
      <c r="Y3" s="158"/>
      <c r="Z3" s="158"/>
    </row>
    <row r="4" spans="1:26" ht="28.5" customHeight="1" x14ac:dyDescent="0.3">
      <c r="A4" s="2" t="s">
        <v>800</v>
      </c>
      <c r="B4" s="2"/>
      <c r="C4" s="2"/>
      <c r="D4" s="3">
        <v>8</v>
      </c>
      <c r="E4" s="3">
        <v>17</v>
      </c>
      <c r="F4" s="3">
        <f t="shared" si="0"/>
        <v>-9</v>
      </c>
      <c r="G4" s="3">
        <f t="shared" si="1"/>
        <v>-52.941176470588239</v>
      </c>
      <c r="H4" s="158"/>
      <c r="I4" s="158"/>
      <c r="J4" s="158"/>
      <c r="K4" s="158"/>
      <c r="L4" s="158"/>
      <c r="M4" s="158"/>
      <c r="N4" s="158"/>
      <c r="O4" s="158"/>
      <c r="P4" s="158"/>
      <c r="Q4" s="158"/>
      <c r="R4" s="158"/>
      <c r="S4" s="158"/>
      <c r="T4" s="158"/>
      <c r="U4" s="158"/>
      <c r="V4" s="158"/>
      <c r="W4" s="158"/>
      <c r="X4" s="158"/>
      <c r="Y4" s="158"/>
      <c r="Z4" s="158"/>
    </row>
    <row r="5" spans="1:26" ht="28.5" customHeight="1" x14ac:dyDescent="0.3">
      <c r="A5" s="110" t="s">
        <v>801</v>
      </c>
      <c r="B5" s="110"/>
      <c r="C5" s="110"/>
      <c r="D5" s="111">
        <v>365</v>
      </c>
      <c r="E5" s="111">
        <v>352</v>
      </c>
      <c r="F5" s="111">
        <f t="shared" si="0"/>
        <v>13</v>
      </c>
      <c r="G5" s="111">
        <f t="shared" si="1"/>
        <v>3.6931818181818183</v>
      </c>
      <c r="H5" s="158"/>
      <c r="I5" s="158"/>
      <c r="J5" s="158"/>
      <c r="K5" s="158"/>
      <c r="L5" s="158"/>
      <c r="M5" s="158"/>
      <c r="N5" s="158"/>
      <c r="O5" s="158"/>
      <c r="P5" s="158"/>
      <c r="Q5" s="158"/>
      <c r="R5" s="158"/>
      <c r="S5" s="158"/>
      <c r="T5" s="158"/>
      <c r="U5" s="158"/>
      <c r="V5" s="158"/>
      <c r="W5" s="158"/>
      <c r="X5" s="158"/>
      <c r="Y5" s="158"/>
      <c r="Z5" s="158"/>
    </row>
    <row r="6" spans="1:26" ht="28.5" customHeight="1" x14ac:dyDescent="0.3">
      <c r="A6" s="159" t="s">
        <v>802</v>
      </c>
      <c r="B6" s="2"/>
      <c r="C6" s="2"/>
      <c r="D6" s="3">
        <v>80</v>
      </c>
      <c r="E6" s="157">
        <v>146</v>
      </c>
      <c r="F6" s="3">
        <f t="shared" si="0"/>
        <v>-66</v>
      </c>
      <c r="G6" s="3">
        <f t="shared" si="1"/>
        <v>-45.205479452054789</v>
      </c>
      <c r="H6" s="158"/>
      <c r="I6" s="158"/>
      <c r="J6" s="158"/>
      <c r="K6" s="158"/>
      <c r="L6" s="158"/>
      <c r="M6" s="158"/>
      <c r="N6" s="158"/>
      <c r="O6" s="158"/>
      <c r="P6" s="158"/>
      <c r="Q6" s="158"/>
      <c r="R6" s="158"/>
      <c r="S6" s="158"/>
      <c r="T6" s="158"/>
      <c r="U6" s="158"/>
      <c r="V6" s="158"/>
      <c r="W6" s="158"/>
      <c r="X6" s="158"/>
      <c r="Y6" s="158"/>
      <c r="Z6" s="158"/>
    </row>
    <row r="7" spans="1:26" ht="28.5" customHeight="1" x14ac:dyDescent="0.3">
      <c r="A7" s="2" t="s">
        <v>313</v>
      </c>
      <c r="B7" s="2"/>
      <c r="C7" s="2"/>
      <c r="D7" s="3">
        <v>183</v>
      </c>
      <c r="E7" s="3">
        <v>115</v>
      </c>
      <c r="F7" s="3">
        <f t="shared" si="0"/>
        <v>68</v>
      </c>
      <c r="G7" s="3">
        <f t="shared" si="1"/>
        <v>59.130434782608695</v>
      </c>
      <c r="H7" s="158"/>
      <c r="I7" s="158"/>
      <c r="J7" s="158"/>
      <c r="K7" s="158"/>
      <c r="L7" s="158"/>
      <c r="M7" s="158"/>
      <c r="N7" s="158"/>
      <c r="O7" s="158"/>
      <c r="P7" s="158"/>
      <c r="Q7" s="158"/>
      <c r="R7" s="158"/>
      <c r="S7" s="158"/>
      <c r="T7" s="158"/>
      <c r="U7" s="158"/>
      <c r="V7" s="158"/>
      <c r="W7" s="158"/>
      <c r="X7" s="158"/>
      <c r="Y7" s="158"/>
      <c r="Z7" s="158"/>
    </row>
    <row r="8" spans="1:26" ht="28.5" customHeight="1" x14ac:dyDescent="0.3">
      <c r="A8" s="2" t="s">
        <v>803</v>
      </c>
      <c r="B8" s="2"/>
      <c r="C8" s="2"/>
      <c r="D8" s="3">
        <v>86</v>
      </c>
      <c r="E8" s="3">
        <v>490</v>
      </c>
      <c r="F8" s="3">
        <f t="shared" si="0"/>
        <v>-404</v>
      </c>
      <c r="G8" s="3">
        <f t="shared" si="1"/>
        <v>-82.448979591836732</v>
      </c>
      <c r="H8" s="158"/>
      <c r="I8" s="158"/>
      <c r="J8" s="158"/>
      <c r="K8" s="158"/>
      <c r="L8" s="158"/>
      <c r="M8" s="158"/>
      <c r="N8" s="158"/>
      <c r="O8" s="158"/>
      <c r="P8" s="158"/>
      <c r="Q8" s="158"/>
      <c r="R8" s="158"/>
      <c r="S8" s="158"/>
      <c r="T8" s="158"/>
      <c r="U8" s="158"/>
      <c r="V8" s="158"/>
      <c r="W8" s="158"/>
      <c r="X8" s="158"/>
      <c r="Y8" s="158"/>
      <c r="Z8" s="158"/>
    </row>
    <row r="9" spans="1:26" ht="28.5" customHeight="1" x14ac:dyDescent="0.3">
      <c r="A9" s="2" t="s">
        <v>804</v>
      </c>
      <c r="B9" s="2"/>
      <c r="C9" s="2"/>
      <c r="D9" s="3">
        <v>15</v>
      </c>
      <c r="E9" s="3">
        <v>20</v>
      </c>
      <c r="F9" s="3">
        <f t="shared" si="0"/>
        <v>-5</v>
      </c>
      <c r="G9" s="3">
        <f t="shared" si="1"/>
        <v>-25</v>
      </c>
      <c r="H9" s="158"/>
      <c r="I9" s="158"/>
      <c r="J9" s="158"/>
      <c r="K9" s="158"/>
      <c r="L9" s="158"/>
      <c r="M9" s="158"/>
      <c r="N9" s="158"/>
      <c r="O9" s="158"/>
      <c r="P9" s="158"/>
      <c r="Q9" s="158"/>
      <c r="R9" s="158"/>
      <c r="S9" s="158"/>
      <c r="T9" s="158"/>
      <c r="U9" s="158"/>
      <c r="V9" s="158"/>
      <c r="W9" s="158"/>
      <c r="X9" s="158"/>
      <c r="Y9" s="158"/>
      <c r="Z9" s="158"/>
    </row>
    <row r="10" spans="1:26" ht="28.5" customHeight="1" x14ac:dyDescent="0.3">
      <c r="A10" s="2" t="s">
        <v>805</v>
      </c>
      <c r="B10" s="2"/>
      <c r="C10" s="2"/>
      <c r="D10" s="3">
        <v>364</v>
      </c>
      <c r="E10" s="3">
        <v>771</v>
      </c>
      <c r="F10" s="3">
        <f t="shared" si="0"/>
        <v>-407</v>
      </c>
      <c r="G10" s="3">
        <f t="shared" si="1"/>
        <v>-52.788586251621275</v>
      </c>
      <c r="H10" s="158"/>
      <c r="I10" s="158"/>
      <c r="J10" s="158"/>
      <c r="K10" s="158"/>
      <c r="L10" s="158"/>
      <c r="M10" s="158"/>
      <c r="N10" s="158"/>
      <c r="O10" s="158"/>
      <c r="P10" s="158"/>
      <c r="Q10" s="158"/>
      <c r="R10" s="158"/>
      <c r="S10" s="158"/>
      <c r="T10" s="158"/>
      <c r="U10" s="158"/>
      <c r="V10" s="158"/>
      <c r="W10" s="158"/>
      <c r="X10" s="158"/>
      <c r="Y10" s="158"/>
      <c r="Z10" s="158"/>
    </row>
    <row r="11" spans="1:26" ht="28.5" customHeight="1" x14ac:dyDescent="0.3">
      <c r="A11" s="110" t="s">
        <v>501</v>
      </c>
      <c r="B11" s="110"/>
      <c r="C11" s="110"/>
      <c r="D11" s="111">
        <v>729</v>
      </c>
      <c r="E11" s="111">
        <v>1123</v>
      </c>
      <c r="F11" s="111">
        <f t="shared" si="0"/>
        <v>-394</v>
      </c>
      <c r="G11" s="111">
        <f t="shared" si="1"/>
        <v>-35.084594835262692</v>
      </c>
      <c r="H11" s="158"/>
      <c r="I11" s="158"/>
      <c r="J11" s="158"/>
      <c r="K11" s="158"/>
      <c r="L11" s="158"/>
      <c r="M11" s="158"/>
      <c r="N11" s="158"/>
      <c r="O11" s="158"/>
      <c r="P11" s="158"/>
      <c r="Q11" s="158"/>
      <c r="R11" s="158"/>
      <c r="S11" s="158"/>
      <c r="T11" s="158"/>
      <c r="U11" s="158"/>
      <c r="V11" s="158"/>
      <c r="W11" s="158"/>
      <c r="X11" s="158"/>
      <c r="Y11" s="158"/>
      <c r="Z11" s="158"/>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A5DB0"/>
  </sheetPr>
  <dimension ref="A1:AA16"/>
  <sheetViews>
    <sheetView workbookViewId="0">
      <pane ySplit="1" topLeftCell="A2" activePane="bottomLeft" state="frozen"/>
      <selection pane="bottomLeft"/>
    </sheetView>
  </sheetViews>
  <sheetFormatPr defaultColWidth="14.44140625" defaultRowHeight="15.75" customHeight="1" x14ac:dyDescent="0.25"/>
  <cols>
    <col min="1" max="1" width="35.88671875" customWidth="1"/>
    <col min="2" max="2" width="22.5546875" customWidth="1"/>
    <col min="3" max="9" width="15.6640625" customWidth="1"/>
    <col min="10" max="10" width="14.44140625" customWidth="1"/>
    <col min="11" max="11" width="9.109375" customWidth="1"/>
    <col min="12" max="12" width="11.5546875" customWidth="1"/>
    <col min="13" max="27" width="9.109375" customWidth="1"/>
  </cols>
  <sheetData>
    <row r="1" spans="1:27" ht="34.5" customHeight="1" x14ac:dyDescent="0.25">
      <c r="A1" s="7" t="s">
        <v>1677</v>
      </c>
      <c r="B1" s="8" t="s">
        <v>11</v>
      </c>
      <c r="C1" s="9" t="s">
        <v>1678</v>
      </c>
      <c r="D1" s="9" t="s">
        <v>1679</v>
      </c>
      <c r="E1" s="9" t="s">
        <v>1680</v>
      </c>
      <c r="F1" s="8" t="s">
        <v>1678</v>
      </c>
      <c r="G1" s="8" t="s">
        <v>1679</v>
      </c>
      <c r="H1" s="8" t="s">
        <v>1681</v>
      </c>
      <c r="I1" s="8" t="s">
        <v>1682</v>
      </c>
      <c r="J1" s="8" t="s">
        <v>1683</v>
      </c>
      <c r="K1" s="10"/>
      <c r="L1" s="10"/>
      <c r="M1" s="10"/>
      <c r="N1" s="10"/>
      <c r="O1" s="10"/>
      <c r="P1" s="10"/>
      <c r="Q1" s="10"/>
      <c r="R1" s="10"/>
      <c r="S1" s="10"/>
      <c r="T1" s="10"/>
      <c r="U1" s="10"/>
      <c r="V1" s="10"/>
      <c r="W1" s="10"/>
      <c r="X1" s="10"/>
      <c r="Y1" s="10"/>
      <c r="Z1" s="10"/>
      <c r="AA1" s="10"/>
    </row>
    <row r="2" spans="1:27" ht="28.5" customHeight="1" x14ac:dyDescent="0.25">
      <c r="A2" s="11" t="s">
        <v>1684</v>
      </c>
      <c r="B2" s="12"/>
      <c r="C2" s="13">
        <v>0</v>
      </c>
      <c r="D2" s="13">
        <v>3209</v>
      </c>
      <c r="E2" s="13">
        <v>3209</v>
      </c>
      <c r="F2" s="12">
        <v>0</v>
      </c>
      <c r="G2" s="13">
        <v>3392</v>
      </c>
      <c r="H2" s="13">
        <v>3392</v>
      </c>
      <c r="I2" s="14">
        <f t="shared" ref="I2:I16" si="0">E2-H2</f>
        <v>-183</v>
      </c>
      <c r="J2" s="15">
        <f t="shared" ref="J2:J16" si="1">(I2/H2)*100</f>
        <v>-5.3950471698113205</v>
      </c>
      <c r="K2" s="16"/>
      <c r="L2" s="17"/>
      <c r="M2" s="18"/>
      <c r="N2" s="18"/>
      <c r="O2" s="18"/>
      <c r="P2" s="18"/>
      <c r="Q2" s="18"/>
      <c r="R2" s="18"/>
      <c r="S2" s="18"/>
      <c r="T2" s="18"/>
      <c r="U2" s="18"/>
      <c r="V2" s="18"/>
      <c r="W2" s="18"/>
      <c r="X2" s="18"/>
      <c r="Y2" s="18"/>
      <c r="Z2" s="18"/>
      <c r="AA2" s="18"/>
    </row>
    <row r="3" spans="1:27" ht="28.5" customHeight="1" x14ac:dyDescent="0.25">
      <c r="A3" s="11" t="s">
        <v>23</v>
      </c>
      <c r="B3" s="12"/>
      <c r="C3" s="13">
        <v>0</v>
      </c>
      <c r="D3" s="13">
        <v>1094</v>
      </c>
      <c r="E3" s="13">
        <v>1094</v>
      </c>
      <c r="F3" s="12">
        <v>0</v>
      </c>
      <c r="G3" s="13">
        <v>1094</v>
      </c>
      <c r="H3" s="13">
        <v>1094</v>
      </c>
      <c r="I3" s="14">
        <f t="shared" si="0"/>
        <v>0</v>
      </c>
      <c r="J3" s="15">
        <f t="shared" si="1"/>
        <v>0</v>
      </c>
      <c r="K3" s="16"/>
      <c r="L3" s="17"/>
      <c r="M3" s="18"/>
      <c r="N3" s="18"/>
      <c r="O3" s="18"/>
      <c r="P3" s="18"/>
      <c r="Q3" s="18"/>
      <c r="R3" s="18"/>
      <c r="S3" s="18"/>
      <c r="T3" s="18"/>
      <c r="U3" s="18"/>
      <c r="V3" s="18"/>
      <c r="W3" s="18"/>
      <c r="X3" s="18"/>
      <c r="Y3" s="18"/>
      <c r="Z3" s="18"/>
      <c r="AA3" s="18"/>
    </row>
    <row r="4" spans="1:27" ht="28.5" customHeight="1" x14ac:dyDescent="0.25">
      <c r="A4" s="19" t="s">
        <v>24</v>
      </c>
      <c r="B4" s="20"/>
      <c r="C4" s="21">
        <v>0</v>
      </c>
      <c r="D4" s="21">
        <v>4303</v>
      </c>
      <c r="E4" s="21">
        <v>4303</v>
      </c>
      <c r="F4" s="20">
        <v>0</v>
      </c>
      <c r="G4" s="21">
        <v>4486</v>
      </c>
      <c r="H4" s="21">
        <v>4486</v>
      </c>
      <c r="I4" s="22">
        <f t="shared" si="0"/>
        <v>-183</v>
      </c>
      <c r="J4" s="23">
        <f t="shared" si="1"/>
        <v>-4.0793580026749892</v>
      </c>
      <c r="K4" s="16"/>
      <c r="L4" s="17"/>
      <c r="M4" s="18"/>
      <c r="N4" s="18"/>
      <c r="O4" s="18"/>
      <c r="P4" s="18"/>
      <c r="Q4" s="18"/>
      <c r="R4" s="18"/>
      <c r="S4" s="18"/>
      <c r="T4" s="18"/>
      <c r="U4" s="18"/>
      <c r="V4" s="18"/>
      <c r="W4" s="18"/>
      <c r="X4" s="18"/>
      <c r="Y4" s="18"/>
      <c r="Z4" s="18"/>
      <c r="AA4" s="18"/>
    </row>
    <row r="5" spans="1:27" ht="28.5" customHeight="1" x14ac:dyDescent="0.25">
      <c r="A5" s="24" t="s">
        <v>25</v>
      </c>
      <c r="B5" s="13" t="s">
        <v>26</v>
      </c>
      <c r="C5" s="13">
        <v>1987</v>
      </c>
      <c r="D5" s="13">
        <v>2140</v>
      </c>
      <c r="E5" s="13">
        <v>4127</v>
      </c>
      <c r="F5" s="13">
        <v>1879</v>
      </c>
      <c r="G5" s="13">
        <v>2282</v>
      </c>
      <c r="H5" s="13">
        <v>4161</v>
      </c>
      <c r="I5" s="14">
        <f t="shared" si="0"/>
        <v>-34</v>
      </c>
      <c r="J5" s="15">
        <f t="shared" si="1"/>
        <v>-0.8171112713290074</v>
      </c>
      <c r="K5" s="16"/>
      <c r="L5" s="17"/>
      <c r="M5" s="17"/>
      <c r="N5" s="17"/>
      <c r="O5" s="17"/>
      <c r="P5" s="17"/>
      <c r="Q5" s="17"/>
      <c r="R5" s="17"/>
      <c r="S5" s="17"/>
      <c r="T5" s="17"/>
      <c r="U5" s="17"/>
      <c r="V5" s="17"/>
      <c r="W5" s="17"/>
      <c r="X5" s="17"/>
      <c r="Y5" s="17"/>
      <c r="Z5" s="17"/>
      <c r="AA5" s="17"/>
    </row>
    <row r="6" spans="1:27" ht="28.5" customHeight="1" x14ac:dyDescent="0.25">
      <c r="A6" s="24" t="s">
        <v>27</v>
      </c>
      <c r="B6" s="13" t="s">
        <v>26</v>
      </c>
      <c r="C6" s="13">
        <v>1292</v>
      </c>
      <c r="D6" s="13">
        <v>2228</v>
      </c>
      <c r="E6" s="13">
        <v>3520</v>
      </c>
      <c r="F6" s="13">
        <v>1231</v>
      </c>
      <c r="G6" s="13">
        <v>2017</v>
      </c>
      <c r="H6" s="13">
        <v>3248</v>
      </c>
      <c r="I6" s="14">
        <f t="shared" si="0"/>
        <v>272</v>
      </c>
      <c r="J6" s="15">
        <f t="shared" si="1"/>
        <v>8.3743842364532011</v>
      </c>
      <c r="K6" s="16"/>
      <c r="L6" s="17"/>
      <c r="M6" s="17"/>
      <c r="N6" s="17"/>
      <c r="O6" s="17"/>
      <c r="P6" s="17"/>
      <c r="Q6" s="17"/>
      <c r="R6" s="17"/>
      <c r="S6" s="17"/>
      <c r="T6" s="17"/>
      <c r="U6" s="17"/>
      <c r="V6" s="17"/>
      <c r="W6" s="17"/>
      <c r="X6" s="17"/>
      <c r="Y6" s="17"/>
      <c r="Z6" s="17"/>
      <c r="AA6" s="17"/>
    </row>
    <row r="7" spans="1:27" ht="28.5" customHeight="1" x14ac:dyDescent="0.25">
      <c r="A7" s="19" t="s">
        <v>28</v>
      </c>
      <c r="B7" s="22" t="s">
        <v>26</v>
      </c>
      <c r="C7" s="21">
        <v>3279</v>
      </c>
      <c r="D7" s="21">
        <v>4368</v>
      </c>
      <c r="E7" s="21">
        <v>7647</v>
      </c>
      <c r="F7" s="21">
        <v>3110</v>
      </c>
      <c r="G7" s="21">
        <v>4299</v>
      </c>
      <c r="H7" s="21">
        <v>7409</v>
      </c>
      <c r="I7" s="22">
        <f t="shared" si="0"/>
        <v>238</v>
      </c>
      <c r="J7" s="23">
        <f t="shared" si="1"/>
        <v>3.2123093534889997</v>
      </c>
      <c r="K7" s="16"/>
      <c r="L7" s="17"/>
      <c r="M7" s="17"/>
      <c r="N7" s="17"/>
      <c r="O7" s="17"/>
      <c r="P7" s="17"/>
      <c r="Q7" s="17"/>
      <c r="R7" s="17"/>
      <c r="S7" s="17"/>
      <c r="T7" s="17"/>
      <c r="U7" s="17"/>
      <c r="V7" s="17"/>
      <c r="W7" s="17"/>
      <c r="X7" s="17"/>
      <c r="Y7" s="17"/>
      <c r="Z7" s="17"/>
      <c r="AA7" s="17"/>
    </row>
    <row r="8" spans="1:27" ht="28.5" customHeight="1" x14ac:dyDescent="0.25">
      <c r="A8" s="11" t="s">
        <v>29</v>
      </c>
      <c r="B8" s="13" t="s">
        <v>30</v>
      </c>
      <c r="C8" s="25">
        <v>1166</v>
      </c>
      <c r="D8" s="25">
        <v>3309</v>
      </c>
      <c r="E8" s="25">
        <v>4475</v>
      </c>
      <c r="F8" s="25">
        <v>1086</v>
      </c>
      <c r="G8" s="13">
        <v>3570</v>
      </c>
      <c r="H8" s="13">
        <v>4656</v>
      </c>
      <c r="I8" s="14">
        <f t="shared" si="0"/>
        <v>-181</v>
      </c>
      <c r="J8" s="15">
        <f t="shared" si="1"/>
        <v>-3.8874570446735395</v>
      </c>
      <c r="K8" s="16"/>
      <c r="L8" s="17"/>
      <c r="M8" s="18"/>
      <c r="N8" s="18"/>
      <c r="O8" s="18"/>
      <c r="P8" s="18"/>
      <c r="Q8" s="18"/>
      <c r="R8" s="18"/>
      <c r="S8" s="18"/>
      <c r="T8" s="18"/>
      <c r="U8" s="18"/>
      <c r="V8" s="18"/>
      <c r="W8" s="18"/>
      <c r="X8" s="18"/>
      <c r="Y8" s="18"/>
      <c r="Z8" s="18"/>
      <c r="AA8" s="18"/>
    </row>
    <row r="9" spans="1:27" ht="28.5" customHeight="1" x14ac:dyDescent="0.25">
      <c r="A9" s="11" t="s">
        <v>31</v>
      </c>
      <c r="B9" s="13" t="s">
        <v>30</v>
      </c>
      <c r="C9" s="13">
        <v>621</v>
      </c>
      <c r="D9" s="13">
        <v>817</v>
      </c>
      <c r="E9" s="13">
        <v>1438</v>
      </c>
      <c r="F9" s="12">
        <v>149</v>
      </c>
      <c r="G9" s="12">
        <v>293</v>
      </c>
      <c r="H9" s="12">
        <v>442</v>
      </c>
      <c r="I9" s="14">
        <f t="shared" si="0"/>
        <v>996</v>
      </c>
      <c r="J9" s="15">
        <f t="shared" si="1"/>
        <v>225.3393665158371</v>
      </c>
      <c r="K9" s="16"/>
      <c r="L9" s="17"/>
      <c r="M9" s="18"/>
      <c r="N9" s="18"/>
      <c r="O9" s="18"/>
      <c r="P9" s="18"/>
      <c r="Q9" s="18"/>
      <c r="R9" s="18"/>
      <c r="S9" s="18"/>
      <c r="T9" s="18"/>
      <c r="U9" s="18"/>
      <c r="V9" s="18"/>
      <c r="W9" s="18"/>
      <c r="X9" s="18"/>
      <c r="Y9" s="18"/>
      <c r="Z9" s="18"/>
      <c r="AA9" s="18"/>
    </row>
    <row r="10" spans="1:27" ht="28.5" customHeight="1" x14ac:dyDescent="0.25">
      <c r="A10" s="11" t="s">
        <v>32</v>
      </c>
      <c r="B10" s="13" t="s">
        <v>30</v>
      </c>
      <c r="C10" s="13">
        <v>369</v>
      </c>
      <c r="D10" s="13">
        <v>147</v>
      </c>
      <c r="E10" s="13">
        <v>516</v>
      </c>
      <c r="F10" s="12">
        <v>438</v>
      </c>
      <c r="G10" s="12">
        <v>123</v>
      </c>
      <c r="H10" s="12">
        <v>561</v>
      </c>
      <c r="I10" s="14">
        <f t="shared" si="0"/>
        <v>-45</v>
      </c>
      <c r="J10" s="15">
        <f t="shared" si="1"/>
        <v>-8.0213903743315509</v>
      </c>
      <c r="K10" s="16"/>
      <c r="L10" s="17"/>
      <c r="M10" s="18"/>
      <c r="N10" s="18"/>
      <c r="O10" s="18"/>
      <c r="P10" s="18"/>
      <c r="Q10" s="18"/>
      <c r="R10" s="18"/>
      <c r="S10" s="18"/>
      <c r="T10" s="18"/>
      <c r="U10" s="18"/>
      <c r="V10" s="18"/>
      <c r="W10" s="18"/>
      <c r="X10" s="18"/>
      <c r="Y10" s="18"/>
      <c r="Z10" s="18"/>
      <c r="AA10" s="18"/>
    </row>
    <row r="11" spans="1:27" ht="28.5" customHeight="1" x14ac:dyDescent="0.25">
      <c r="A11" s="11" t="s">
        <v>33</v>
      </c>
      <c r="B11" s="13" t="s">
        <v>30</v>
      </c>
      <c r="C11" s="13">
        <v>2618</v>
      </c>
      <c r="D11" s="13">
        <v>1758</v>
      </c>
      <c r="E11" s="13">
        <v>4376</v>
      </c>
      <c r="F11" s="13">
        <v>1214</v>
      </c>
      <c r="G11" s="12">
        <v>840</v>
      </c>
      <c r="H11" s="13">
        <v>2054</v>
      </c>
      <c r="I11" s="14">
        <f t="shared" si="0"/>
        <v>2322</v>
      </c>
      <c r="J11" s="15">
        <f t="shared" si="1"/>
        <v>113.04771178188899</v>
      </c>
      <c r="K11" s="16"/>
      <c r="L11" s="17"/>
      <c r="M11" s="18"/>
      <c r="N11" s="18"/>
      <c r="O11" s="18"/>
      <c r="P11" s="18"/>
      <c r="Q11" s="18"/>
      <c r="R11" s="18"/>
      <c r="S11" s="18"/>
      <c r="T11" s="18"/>
      <c r="U11" s="18"/>
      <c r="V11" s="18"/>
      <c r="W11" s="18"/>
      <c r="X11" s="18"/>
      <c r="Y11" s="18"/>
      <c r="Z11" s="18"/>
      <c r="AA11" s="18"/>
    </row>
    <row r="12" spans="1:27" ht="28.5" customHeight="1" x14ac:dyDescent="0.25">
      <c r="A12" s="19" t="s">
        <v>34</v>
      </c>
      <c r="B12" s="21" t="s">
        <v>30</v>
      </c>
      <c r="C12" s="21">
        <v>4774</v>
      </c>
      <c r="D12" s="21">
        <v>6031</v>
      </c>
      <c r="E12" s="21">
        <v>10805</v>
      </c>
      <c r="F12" s="21">
        <v>2887</v>
      </c>
      <c r="G12" s="21">
        <v>4826</v>
      </c>
      <c r="H12" s="21">
        <v>7713</v>
      </c>
      <c r="I12" s="22">
        <f t="shared" si="0"/>
        <v>3092</v>
      </c>
      <c r="J12" s="23">
        <f t="shared" si="1"/>
        <v>40.088162841955139</v>
      </c>
      <c r="K12" s="16"/>
      <c r="L12" s="17"/>
      <c r="M12" s="18"/>
      <c r="N12" s="18"/>
      <c r="O12" s="18"/>
      <c r="P12" s="18"/>
      <c r="Q12" s="18"/>
      <c r="R12" s="18"/>
      <c r="S12" s="18"/>
      <c r="T12" s="18"/>
      <c r="U12" s="18"/>
      <c r="V12" s="18"/>
      <c r="W12" s="18"/>
      <c r="X12" s="18"/>
      <c r="Y12" s="18"/>
      <c r="Z12" s="18"/>
      <c r="AA12" s="18"/>
    </row>
    <row r="13" spans="1:27" ht="28.5" customHeight="1" x14ac:dyDescent="0.25">
      <c r="A13" s="26" t="s">
        <v>35</v>
      </c>
      <c r="B13" s="21" t="s">
        <v>30</v>
      </c>
      <c r="C13" s="27">
        <v>4931</v>
      </c>
      <c r="D13" s="27">
        <v>6856</v>
      </c>
      <c r="E13" s="21">
        <v>11787</v>
      </c>
      <c r="F13" s="21">
        <v>5374</v>
      </c>
      <c r="G13" s="21">
        <v>6865</v>
      </c>
      <c r="H13" s="21">
        <v>12239</v>
      </c>
      <c r="I13" s="22">
        <f t="shared" si="0"/>
        <v>-452</v>
      </c>
      <c r="J13" s="23">
        <f t="shared" si="1"/>
        <v>-3.6931121823678406</v>
      </c>
      <c r="K13" s="16"/>
      <c r="L13" s="16"/>
      <c r="M13" s="18"/>
      <c r="N13" s="18"/>
      <c r="O13" s="18"/>
      <c r="P13" s="18"/>
      <c r="Q13" s="18"/>
      <c r="R13" s="18"/>
      <c r="S13" s="18"/>
      <c r="T13" s="18"/>
      <c r="U13" s="18"/>
      <c r="V13" s="18"/>
      <c r="W13" s="18"/>
      <c r="X13" s="18"/>
      <c r="Y13" s="18"/>
      <c r="Z13" s="18"/>
      <c r="AA13" s="18"/>
    </row>
    <row r="14" spans="1:27" ht="28.5" customHeight="1" x14ac:dyDescent="0.25">
      <c r="A14" s="26" t="s">
        <v>36</v>
      </c>
      <c r="B14" s="21"/>
      <c r="C14" s="21"/>
      <c r="D14" s="21"/>
      <c r="E14" s="21">
        <v>34542</v>
      </c>
      <c r="F14" s="21">
        <v>11371</v>
      </c>
      <c r="G14" s="21">
        <v>20476</v>
      </c>
      <c r="H14" s="21">
        <v>31847</v>
      </c>
      <c r="I14" s="22">
        <f t="shared" si="0"/>
        <v>2695</v>
      </c>
      <c r="J14" s="23">
        <f t="shared" si="1"/>
        <v>8.4623355418092761</v>
      </c>
      <c r="K14" s="16"/>
      <c r="L14" s="16"/>
      <c r="M14" s="18"/>
      <c r="N14" s="18"/>
      <c r="O14" s="18"/>
      <c r="P14" s="18"/>
      <c r="Q14" s="18"/>
      <c r="R14" s="18"/>
      <c r="S14" s="18"/>
      <c r="T14" s="18"/>
      <c r="U14" s="18"/>
      <c r="V14" s="18"/>
      <c r="W14" s="18"/>
      <c r="X14" s="18"/>
      <c r="Y14" s="18"/>
      <c r="Z14" s="18"/>
      <c r="AA14" s="18"/>
    </row>
    <row r="15" spans="1:27" ht="28.5" customHeight="1" x14ac:dyDescent="0.25">
      <c r="A15" s="19" t="s">
        <v>37</v>
      </c>
      <c r="B15" s="20"/>
      <c r="C15" s="21"/>
      <c r="D15" s="21"/>
      <c r="E15" s="21">
        <v>66</v>
      </c>
      <c r="F15" s="20">
        <v>27</v>
      </c>
      <c r="G15" s="20">
        <v>30</v>
      </c>
      <c r="H15" s="20">
        <v>57</v>
      </c>
      <c r="I15" s="22">
        <f t="shared" si="0"/>
        <v>9</v>
      </c>
      <c r="J15" s="23">
        <f t="shared" si="1"/>
        <v>15.789473684210526</v>
      </c>
      <c r="K15" s="16"/>
      <c r="L15" s="16"/>
      <c r="M15" s="18"/>
      <c r="N15" s="18"/>
      <c r="O15" s="18"/>
      <c r="P15" s="18"/>
      <c r="Q15" s="18"/>
      <c r="R15" s="18"/>
      <c r="S15" s="18"/>
      <c r="T15" s="18"/>
      <c r="U15" s="18"/>
      <c r="V15" s="18"/>
      <c r="W15" s="18"/>
      <c r="X15" s="18"/>
      <c r="Y15" s="18"/>
      <c r="Z15" s="18"/>
      <c r="AA15" s="18"/>
    </row>
    <row r="16" spans="1:27" ht="28.5" customHeight="1" x14ac:dyDescent="0.25">
      <c r="A16" s="19" t="s">
        <v>38</v>
      </c>
      <c r="B16" s="21"/>
      <c r="C16" s="27">
        <v>13022</v>
      </c>
      <c r="D16" s="27">
        <v>21586</v>
      </c>
      <c r="E16" s="21">
        <v>34608</v>
      </c>
      <c r="F16" s="21">
        <v>11398</v>
      </c>
      <c r="G16" s="22">
        <v>20506</v>
      </c>
      <c r="H16" s="21">
        <v>31904</v>
      </c>
      <c r="I16" s="22">
        <f t="shared" si="0"/>
        <v>2704</v>
      </c>
      <c r="J16" s="23">
        <f t="shared" si="1"/>
        <v>8.47542627883651</v>
      </c>
      <c r="K16" s="16"/>
      <c r="L16" s="17"/>
      <c r="M16" s="18"/>
      <c r="N16" s="18"/>
      <c r="O16" s="18"/>
      <c r="P16" s="18"/>
      <c r="Q16" s="18"/>
      <c r="R16" s="18"/>
      <c r="S16" s="18"/>
      <c r="T16" s="18"/>
      <c r="U16" s="18"/>
      <c r="V16" s="18"/>
      <c r="W16" s="18"/>
      <c r="X16" s="18"/>
      <c r="Y16" s="18"/>
      <c r="Z16" s="18"/>
      <c r="AA16" s="18"/>
    </row>
  </sheetData>
  <pageMargins left="0.7" right="0.7" top="0.75" bottom="0.75" header="0" footer="0"/>
  <pageSetup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2A5DB0"/>
  </sheetPr>
  <dimension ref="A1:Z22"/>
  <sheetViews>
    <sheetView workbookViewId="0">
      <pane ySplit="1" topLeftCell="A2" activePane="bottomLeft" state="frozen"/>
      <selection pane="bottomLeft"/>
    </sheetView>
  </sheetViews>
  <sheetFormatPr defaultColWidth="14.44140625" defaultRowHeight="15.75" customHeight="1" x14ac:dyDescent="0.25"/>
  <cols>
    <col min="1" max="1" width="31.109375" customWidth="1"/>
    <col min="2" max="2" width="21.109375" customWidth="1"/>
    <col min="3" max="3" width="25" customWidth="1"/>
    <col min="4" max="5" width="23.88671875" customWidth="1"/>
    <col min="6" max="6" width="14.109375" customWidth="1"/>
    <col min="7" max="7" width="17.88671875" customWidth="1"/>
    <col min="8" max="26" width="20.6640625" customWidth="1"/>
  </cols>
  <sheetData>
    <row r="1" spans="1:26" ht="34.5" customHeight="1" x14ac:dyDescent="0.25">
      <c r="A1" s="279" t="s">
        <v>1751</v>
      </c>
      <c r="B1" s="280" t="s">
        <v>10</v>
      </c>
      <c r="C1" s="280" t="s">
        <v>11</v>
      </c>
      <c r="D1" s="280" t="s">
        <v>1687</v>
      </c>
      <c r="E1" s="280" t="s">
        <v>1688</v>
      </c>
      <c r="F1" s="280" t="s">
        <v>1682</v>
      </c>
      <c r="G1" s="280" t="s">
        <v>1683</v>
      </c>
      <c r="H1" s="10"/>
      <c r="I1" s="10"/>
      <c r="J1" s="10"/>
      <c r="K1" s="10"/>
      <c r="L1" s="10"/>
      <c r="M1" s="10"/>
      <c r="N1" s="10"/>
      <c r="O1" s="10"/>
      <c r="P1" s="10"/>
      <c r="Q1" s="10"/>
      <c r="R1" s="10"/>
      <c r="S1" s="10"/>
      <c r="T1" s="10"/>
      <c r="U1" s="10"/>
      <c r="V1" s="10"/>
      <c r="W1" s="10"/>
      <c r="X1" s="10"/>
      <c r="Y1" s="10"/>
      <c r="Z1" s="10"/>
    </row>
    <row r="2" spans="1:26" ht="28.5" customHeight="1" x14ac:dyDescent="0.25">
      <c r="A2" s="32" t="s">
        <v>1752</v>
      </c>
      <c r="B2" s="32" t="s">
        <v>1753</v>
      </c>
      <c r="C2" s="32" t="s">
        <v>49</v>
      </c>
      <c r="D2" s="33">
        <v>1145.5999999999999</v>
      </c>
      <c r="E2" s="33">
        <v>1031.5999999999999</v>
      </c>
      <c r="F2" s="33">
        <f t="shared" ref="F2:F22" si="0">D2-E2</f>
        <v>114</v>
      </c>
      <c r="G2" s="33">
        <f t="shared" ref="G2:G22" si="1">(F2/E2)*100</f>
        <v>11.050794881737108</v>
      </c>
      <c r="H2" s="40"/>
      <c r="I2" s="41"/>
      <c r="J2" s="41"/>
      <c r="K2" s="41"/>
      <c r="L2" s="41"/>
      <c r="M2" s="41"/>
      <c r="N2" s="41"/>
      <c r="O2" s="41"/>
      <c r="P2" s="41"/>
      <c r="Q2" s="41"/>
      <c r="R2" s="41"/>
      <c r="S2" s="41"/>
      <c r="T2" s="41"/>
      <c r="U2" s="41"/>
      <c r="V2" s="41"/>
      <c r="W2" s="41"/>
      <c r="X2" s="41"/>
      <c r="Y2" s="41"/>
      <c r="Z2" s="41"/>
    </row>
    <row r="3" spans="1:26" ht="28.5" customHeight="1" x14ac:dyDescent="0.25">
      <c r="A3" s="32" t="s">
        <v>807</v>
      </c>
      <c r="B3" s="32" t="s">
        <v>808</v>
      </c>
      <c r="C3" s="32" t="s">
        <v>49</v>
      </c>
      <c r="D3" s="33">
        <v>390.5</v>
      </c>
      <c r="E3" s="33">
        <v>407.4</v>
      </c>
      <c r="F3" s="33">
        <f t="shared" si="0"/>
        <v>-16.899999999999977</v>
      </c>
      <c r="G3" s="33">
        <f t="shared" si="1"/>
        <v>-4.1482572410407412</v>
      </c>
      <c r="H3" s="40"/>
      <c r="I3" s="41"/>
      <c r="J3" s="41"/>
      <c r="K3" s="41"/>
      <c r="L3" s="41"/>
      <c r="M3" s="41"/>
      <c r="N3" s="41"/>
      <c r="O3" s="41"/>
      <c r="P3" s="41"/>
      <c r="Q3" s="41"/>
      <c r="R3" s="41"/>
      <c r="S3" s="41"/>
      <c r="T3" s="41"/>
      <c r="U3" s="41"/>
      <c r="V3" s="41"/>
      <c r="W3" s="41"/>
      <c r="X3" s="41"/>
      <c r="Y3" s="41"/>
      <c r="Z3" s="41"/>
    </row>
    <row r="4" spans="1:26" ht="28.5" customHeight="1" x14ac:dyDescent="0.25">
      <c r="A4" s="24" t="s">
        <v>809</v>
      </c>
      <c r="B4" s="24" t="s">
        <v>810</v>
      </c>
      <c r="C4" s="24" t="s">
        <v>49</v>
      </c>
      <c r="D4" s="25">
        <v>288.89999999999998</v>
      </c>
      <c r="E4" s="25">
        <v>242.2</v>
      </c>
      <c r="F4" s="33">
        <f t="shared" si="0"/>
        <v>46.699999999999989</v>
      </c>
      <c r="G4" s="33">
        <f t="shared" si="1"/>
        <v>19.28158546655656</v>
      </c>
      <c r="H4" s="17"/>
      <c r="I4" s="17"/>
      <c r="J4" s="17"/>
      <c r="K4" s="17"/>
      <c r="L4" s="17"/>
      <c r="M4" s="17"/>
      <c r="N4" s="17"/>
      <c r="O4" s="17"/>
      <c r="P4" s="17"/>
      <c r="Q4" s="17"/>
      <c r="R4" s="17"/>
      <c r="S4" s="17"/>
      <c r="T4" s="17"/>
      <c r="U4" s="17"/>
      <c r="V4" s="17"/>
      <c r="W4" s="17"/>
      <c r="X4" s="17"/>
      <c r="Y4" s="17"/>
      <c r="Z4" s="17"/>
    </row>
    <row r="5" spans="1:26" ht="28.5" customHeight="1" x14ac:dyDescent="0.25">
      <c r="A5" s="24" t="s">
        <v>811</v>
      </c>
      <c r="B5" s="24" t="s">
        <v>812</v>
      </c>
      <c r="C5" s="24" t="s">
        <v>49</v>
      </c>
      <c r="D5" s="25">
        <v>123.3</v>
      </c>
      <c r="E5" s="25">
        <v>134.69999999999999</v>
      </c>
      <c r="F5" s="33">
        <f t="shared" si="0"/>
        <v>-11.399999999999991</v>
      </c>
      <c r="G5" s="33">
        <f t="shared" si="1"/>
        <v>-8.4632516703786127</v>
      </c>
      <c r="H5" s="17"/>
      <c r="I5" s="17"/>
      <c r="J5" s="17"/>
      <c r="K5" s="17"/>
      <c r="L5" s="17"/>
      <c r="M5" s="17"/>
      <c r="N5" s="17"/>
      <c r="O5" s="17"/>
      <c r="P5" s="17"/>
      <c r="Q5" s="17"/>
      <c r="R5" s="17"/>
      <c r="S5" s="17"/>
      <c r="T5" s="17"/>
      <c r="U5" s="17"/>
      <c r="V5" s="17"/>
      <c r="W5" s="17"/>
      <c r="X5" s="17"/>
      <c r="Y5" s="17"/>
      <c r="Z5" s="17"/>
    </row>
    <row r="6" spans="1:26" ht="28.5" customHeight="1" x14ac:dyDescent="0.25">
      <c r="A6" s="24" t="s">
        <v>620</v>
      </c>
      <c r="B6" s="24"/>
      <c r="C6" s="24" t="s">
        <v>49</v>
      </c>
      <c r="D6" s="25">
        <v>21.8</v>
      </c>
      <c r="E6" s="25">
        <v>28.5</v>
      </c>
      <c r="F6" s="33">
        <f t="shared" si="0"/>
        <v>-6.6999999999999993</v>
      </c>
      <c r="G6" s="33">
        <f t="shared" si="1"/>
        <v>-23.508771929824558</v>
      </c>
      <c r="H6" s="17"/>
      <c r="I6" s="17"/>
      <c r="J6" s="17"/>
      <c r="K6" s="17"/>
      <c r="L6" s="17"/>
      <c r="M6" s="17"/>
      <c r="N6" s="17"/>
      <c r="O6" s="17"/>
      <c r="P6" s="17"/>
      <c r="Q6" s="17"/>
      <c r="R6" s="17"/>
      <c r="S6" s="17"/>
      <c r="T6" s="17"/>
      <c r="U6" s="17"/>
      <c r="V6" s="17"/>
      <c r="W6" s="17"/>
      <c r="X6" s="17"/>
      <c r="Y6" s="17"/>
      <c r="Z6" s="17"/>
    </row>
    <row r="7" spans="1:26" ht="28.5" customHeight="1" x14ac:dyDescent="0.25">
      <c r="A7" s="30" t="s">
        <v>49</v>
      </c>
      <c r="B7" s="30"/>
      <c r="C7" s="31" t="s">
        <v>49</v>
      </c>
      <c r="D7" s="22">
        <v>1969.8</v>
      </c>
      <c r="E7" s="22">
        <v>1844.4</v>
      </c>
      <c r="F7" s="22">
        <f t="shared" si="0"/>
        <v>125.39999999999986</v>
      </c>
      <c r="G7" s="22">
        <f t="shared" si="1"/>
        <v>6.7989590110605</v>
      </c>
      <c r="H7" s="17"/>
      <c r="I7" s="17"/>
      <c r="J7" s="17"/>
      <c r="K7" s="17"/>
      <c r="L7" s="17"/>
      <c r="M7" s="17"/>
      <c r="N7" s="17"/>
      <c r="O7" s="17"/>
      <c r="P7" s="17"/>
      <c r="Q7" s="17"/>
      <c r="R7" s="17"/>
      <c r="S7" s="17"/>
      <c r="T7" s="17"/>
      <c r="U7" s="17"/>
      <c r="V7" s="17"/>
      <c r="W7" s="17"/>
      <c r="X7" s="17"/>
      <c r="Y7" s="17"/>
      <c r="Z7" s="17"/>
    </row>
    <row r="8" spans="1:26" ht="28.5" customHeight="1" x14ac:dyDescent="0.25">
      <c r="A8" s="24" t="s">
        <v>813</v>
      </c>
      <c r="B8" s="24" t="s">
        <v>814</v>
      </c>
      <c r="C8" s="24" t="s">
        <v>62</v>
      </c>
      <c r="D8" s="25">
        <v>353.2</v>
      </c>
      <c r="E8" s="25">
        <v>388.3</v>
      </c>
      <c r="F8" s="33">
        <f t="shared" si="0"/>
        <v>-35.100000000000023</v>
      </c>
      <c r="G8" s="33">
        <f t="shared" si="1"/>
        <v>-9.0394025238217939</v>
      </c>
      <c r="H8" s="17"/>
      <c r="I8" s="17"/>
      <c r="J8" s="17"/>
      <c r="K8" s="17"/>
      <c r="L8" s="17"/>
      <c r="M8" s="17"/>
      <c r="N8" s="17"/>
      <c r="O8" s="17"/>
      <c r="P8" s="17"/>
      <c r="Q8" s="17"/>
      <c r="R8" s="17"/>
      <c r="S8" s="17"/>
      <c r="T8" s="17"/>
      <c r="U8" s="17"/>
      <c r="V8" s="17"/>
      <c r="W8" s="17"/>
      <c r="X8" s="17"/>
      <c r="Y8" s="17"/>
      <c r="Z8" s="17"/>
    </row>
    <row r="9" spans="1:26" ht="28.5" customHeight="1" x14ac:dyDescent="0.25">
      <c r="A9" s="30" t="s">
        <v>69</v>
      </c>
      <c r="B9" s="30"/>
      <c r="C9" s="31" t="s">
        <v>62</v>
      </c>
      <c r="D9" s="22">
        <v>356.1</v>
      </c>
      <c r="E9" s="22">
        <v>391.3</v>
      </c>
      <c r="F9" s="22">
        <f t="shared" si="0"/>
        <v>-35.199999999999989</v>
      </c>
      <c r="G9" s="22">
        <f t="shared" si="1"/>
        <v>-8.995655507283411</v>
      </c>
      <c r="H9" s="17"/>
      <c r="I9" s="17"/>
      <c r="J9" s="17"/>
      <c r="K9" s="17"/>
      <c r="L9" s="17"/>
      <c r="M9" s="17"/>
      <c r="N9" s="17"/>
      <c r="O9" s="17"/>
      <c r="P9" s="17"/>
      <c r="Q9" s="17"/>
      <c r="R9" s="17"/>
      <c r="S9" s="17"/>
      <c r="T9" s="17"/>
      <c r="U9" s="17"/>
      <c r="V9" s="17"/>
      <c r="W9" s="17"/>
      <c r="X9" s="17"/>
      <c r="Y9" s="17"/>
      <c r="Z9" s="17"/>
    </row>
    <row r="10" spans="1:26" ht="28.5" customHeight="1" x14ac:dyDescent="0.25">
      <c r="A10" s="24" t="s">
        <v>815</v>
      </c>
      <c r="B10" s="24" t="s">
        <v>816</v>
      </c>
      <c r="C10" s="24" t="s">
        <v>100</v>
      </c>
      <c r="D10" s="25">
        <v>36.799999999999997</v>
      </c>
      <c r="E10" s="25">
        <v>41.8</v>
      </c>
      <c r="F10" s="33">
        <f t="shared" si="0"/>
        <v>-5</v>
      </c>
      <c r="G10" s="33">
        <f t="shared" si="1"/>
        <v>-11.961722488038278</v>
      </c>
      <c r="H10" s="17"/>
      <c r="I10" s="17"/>
      <c r="J10" s="17"/>
      <c r="K10" s="17"/>
      <c r="L10" s="17"/>
      <c r="M10" s="17"/>
      <c r="N10" s="17"/>
      <c r="O10" s="17"/>
      <c r="P10" s="17"/>
      <c r="Q10" s="17"/>
      <c r="R10" s="17"/>
      <c r="S10" s="17"/>
      <c r="T10" s="17"/>
      <c r="U10" s="17"/>
      <c r="V10" s="17"/>
      <c r="W10" s="17"/>
      <c r="X10" s="17"/>
      <c r="Y10" s="17"/>
      <c r="Z10" s="17"/>
    </row>
    <row r="11" spans="1:26" ht="28.5" customHeight="1" x14ac:dyDescent="0.25">
      <c r="A11" s="24" t="s">
        <v>817</v>
      </c>
      <c r="B11" s="24" t="s">
        <v>818</v>
      </c>
      <c r="C11" s="24" t="s">
        <v>116</v>
      </c>
      <c r="D11" s="25">
        <v>19</v>
      </c>
      <c r="E11" s="25">
        <v>21.9</v>
      </c>
      <c r="F11" s="33">
        <f t="shared" si="0"/>
        <v>-2.8999999999999986</v>
      </c>
      <c r="G11" s="33">
        <f t="shared" si="1"/>
        <v>-13.242009132420085</v>
      </c>
      <c r="H11" s="17"/>
      <c r="I11" s="17"/>
      <c r="J11" s="17"/>
      <c r="K11" s="17"/>
      <c r="L11" s="17"/>
      <c r="M11" s="17"/>
      <c r="N11" s="17"/>
      <c r="O11" s="17"/>
      <c r="P11" s="17"/>
      <c r="Q11" s="17"/>
      <c r="R11" s="17"/>
      <c r="S11" s="17"/>
      <c r="T11" s="17"/>
      <c r="U11" s="17"/>
      <c r="V11" s="17"/>
      <c r="W11" s="17"/>
      <c r="X11" s="17"/>
      <c r="Y11" s="17"/>
      <c r="Z11" s="17"/>
    </row>
    <row r="12" spans="1:26" ht="28.5" customHeight="1" x14ac:dyDescent="0.25">
      <c r="A12" s="30" t="s">
        <v>819</v>
      </c>
      <c r="B12" s="30"/>
      <c r="C12" s="30"/>
      <c r="D12" s="22">
        <v>55.2</v>
      </c>
      <c r="E12" s="22">
        <v>63.7</v>
      </c>
      <c r="F12" s="22">
        <f t="shared" si="0"/>
        <v>-8.5</v>
      </c>
      <c r="G12" s="22">
        <f t="shared" si="1"/>
        <v>-13.343799058084771</v>
      </c>
      <c r="H12" s="17"/>
      <c r="I12" s="17"/>
      <c r="J12" s="17"/>
      <c r="K12" s="17"/>
      <c r="L12" s="17"/>
      <c r="M12" s="17"/>
      <c r="N12" s="17"/>
      <c r="O12" s="17"/>
      <c r="P12" s="17"/>
      <c r="Q12" s="17"/>
      <c r="R12" s="17"/>
      <c r="S12" s="17"/>
      <c r="T12" s="17"/>
      <c r="U12" s="17"/>
      <c r="V12" s="17"/>
      <c r="W12" s="17"/>
      <c r="X12" s="17"/>
      <c r="Y12" s="17"/>
      <c r="Z12" s="17"/>
    </row>
    <row r="13" spans="1:26" ht="28.5" customHeight="1" x14ac:dyDescent="0.25">
      <c r="A13" s="66" t="s">
        <v>820</v>
      </c>
      <c r="B13" s="24" t="s">
        <v>821</v>
      </c>
      <c r="C13" s="24" t="s">
        <v>97</v>
      </c>
      <c r="D13" s="25">
        <v>80.900000000000006</v>
      </c>
      <c r="E13" s="25">
        <v>125.6</v>
      </c>
      <c r="F13" s="33">
        <f t="shared" si="0"/>
        <v>-44.699999999999989</v>
      </c>
      <c r="G13" s="33">
        <f t="shared" si="1"/>
        <v>-35.589171974522287</v>
      </c>
      <c r="H13" s="17"/>
      <c r="I13" s="17"/>
      <c r="J13" s="17"/>
      <c r="K13" s="17"/>
      <c r="L13" s="17"/>
      <c r="M13" s="17"/>
      <c r="N13" s="17"/>
      <c r="O13" s="17"/>
      <c r="P13" s="17"/>
      <c r="Q13" s="17"/>
      <c r="R13" s="17"/>
      <c r="S13" s="17"/>
      <c r="T13" s="17"/>
      <c r="U13" s="17"/>
      <c r="V13" s="17"/>
      <c r="W13" s="17"/>
      <c r="X13" s="17"/>
      <c r="Y13" s="17"/>
      <c r="Z13" s="17"/>
    </row>
    <row r="14" spans="1:26" ht="28.5" customHeight="1" x14ac:dyDescent="0.25">
      <c r="A14" s="66" t="s">
        <v>822</v>
      </c>
      <c r="B14" s="24" t="s">
        <v>823</v>
      </c>
      <c r="C14" s="24" t="s">
        <v>97</v>
      </c>
      <c r="D14" s="25">
        <v>39</v>
      </c>
      <c r="E14" s="25">
        <v>42.1</v>
      </c>
      <c r="F14" s="33">
        <f t="shared" si="0"/>
        <v>-3.1000000000000014</v>
      </c>
      <c r="G14" s="33">
        <f t="shared" si="1"/>
        <v>-7.3634204275534483</v>
      </c>
      <c r="H14" s="17"/>
      <c r="I14" s="17"/>
      <c r="J14" s="17"/>
      <c r="K14" s="17"/>
      <c r="L14" s="17"/>
      <c r="M14" s="17"/>
      <c r="N14" s="17"/>
      <c r="O14" s="17"/>
      <c r="P14" s="17"/>
      <c r="Q14" s="17"/>
      <c r="R14" s="17"/>
      <c r="S14" s="17"/>
      <c r="T14" s="17"/>
      <c r="U14" s="17"/>
      <c r="V14" s="17"/>
      <c r="W14" s="17"/>
      <c r="X14" s="17"/>
      <c r="Y14" s="17"/>
      <c r="Z14" s="17"/>
    </row>
    <row r="15" spans="1:26" ht="28.5" customHeight="1" x14ac:dyDescent="0.25">
      <c r="A15" s="66" t="s">
        <v>824</v>
      </c>
      <c r="B15" s="24" t="s">
        <v>825</v>
      </c>
      <c r="C15" s="24" t="s">
        <v>62</v>
      </c>
      <c r="D15" s="25">
        <v>35.200000000000003</v>
      </c>
      <c r="E15" s="25">
        <v>36.700000000000003</v>
      </c>
      <c r="F15" s="33">
        <f t="shared" si="0"/>
        <v>-1.5</v>
      </c>
      <c r="G15" s="33">
        <f t="shared" si="1"/>
        <v>-4.0871934604904636</v>
      </c>
      <c r="H15" s="160"/>
      <c r="I15" s="161"/>
      <c r="J15" s="17"/>
      <c r="K15" s="17"/>
      <c r="L15" s="17"/>
      <c r="M15" s="17"/>
      <c r="N15" s="17"/>
      <c r="O15" s="17"/>
      <c r="P15" s="17"/>
      <c r="Q15" s="17"/>
      <c r="R15" s="17"/>
      <c r="S15" s="17"/>
      <c r="T15" s="17"/>
      <c r="U15" s="17"/>
      <c r="V15" s="17"/>
      <c r="W15" s="17"/>
      <c r="X15" s="17"/>
      <c r="Y15" s="17"/>
      <c r="Z15" s="17"/>
    </row>
    <row r="16" spans="1:26" ht="28.5" customHeight="1" x14ac:dyDescent="0.25">
      <c r="A16" s="24" t="s">
        <v>826</v>
      </c>
      <c r="B16" s="24" t="s">
        <v>823</v>
      </c>
      <c r="C16" s="24" t="s">
        <v>97</v>
      </c>
      <c r="D16" s="25">
        <v>28.1</v>
      </c>
      <c r="E16" s="25">
        <v>36.799999999999997</v>
      </c>
      <c r="F16" s="33">
        <f t="shared" si="0"/>
        <v>-8.6999999999999957</v>
      </c>
      <c r="G16" s="33">
        <f t="shared" si="1"/>
        <v>-23.641304347826079</v>
      </c>
      <c r="H16" s="17"/>
      <c r="I16" s="17"/>
      <c r="J16" s="17"/>
      <c r="K16" s="17"/>
      <c r="L16" s="17"/>
      <c r="M16" s="17"/>
      <c r="N16" s="17"/>
      <c r="O16" s="17"/>
      <c r="P16" s="17"/>
      <c r="Q16" s="17"/>
      <c r="R16" s="17"/>
      <c r="S16" s="17"/>
      <c r="T16" s="17"/>
      <c r="U16" s="17"/>
      <c r="V16" s="17"/>
      <c r="W16" s="17"/>
      <c r="X16" s="17"/>
      <c r="Y16" s="17"/>
      <c r="Z16" s="17"/>
    </row>
    <row r="17" spans="1:26" ht="28.5" customHeight="1" x14ac:dyDescent="0.25">
      <c r="A17" s="66" t="s">
        <v>827</v>
      </c>
      <c r="B17" s="24"/>
      <c r="C17" s="24"/>
      <c r="D17" s="25">
        <v>27.4</v>
      </c>
      <c r="E17" s="25">
        <v>35.6</v>
      </c>
      <c r="F17" s="33">
        <f t="shared" si="0"/>
        <v>-8.2000000000000028</v>
      </c>
      <c r="G17" s="33">
        <f t="shared" si="1"/>
        <v>-23.033707865168545</v>
      </c>
      <c r="H17" s="160"/>
      <c r="I17" s="161"/>
      <c r="J17" s="17"/>
      <c r="K17" s="17"/>
      <c r="L17" s="17"/>
      <c r="M17" s="17"/>
      <c r="N17" s="17"/>
      <c r="O17" s="17"/>
      <c r="P17" s="17"/>
      <c r="Q17" s="17"/>
      <c r="R17" s="17"/>
      <c r="S17" s="17"/>
      <c r="T17" s="17"/>
      <c r="U17" s="17"/>
      <c r="V17" s="17"/>
      <c r="W17" s="17"/>
      <c r="X17" s="17"/>
      <c r="Y17" s="17"/>
      <c r="Z17" s="17"/>
    </row>
    <row r="18" spans="1:26" ht="28.5" customHeight="1" x14ac:dyDescent="0.25">
      <c r="A18" s="30" t="s">
        <v>828</v>
      </c>
      <c r="B18" s="30"/>
      <c r="C18" s="30"/>
      <c r="D18" s="22">
        <v>2381.4</v>
      </c>
      <c r="E18" s="22">
        <v>2299.4</v>
      </c>
      <c r="F18" s="22">
        <f t="shared" si="0"/>
        <v>82</v>
      </c>
      <c r="G18" s="22">
        <f t="shared" si="1"/>
        <v>3.5661476907019223</v>
      </c>
      <c r="H18" s="17"/>
      <c r="I18" s="17"/>
      <c r="J18" s="17"/>
      <c r="K18" s="17"/>
      <c r="L18" s="17"/>
      <c r="M18" s="17"/>
      <c r="N18" s="17"/>
      <c r="O18" s="17"/>
      <c r="P18" s="17"/>
      <c r="Q18" s="17"/>
      <c r="R18" s="17"/>
      <c r="S18" s="17"/>
      <c r="T18" s="17"/>
      <c r="U18" s="17"/>
      <c r="V18" s="17"/>
      <c r="W18" s="17"/>
      <c r="X18" s="17"/>
      <c r="Y18" s="17"/>
      <c r="Z18" s="17"/>
    </row>
    <row r="19" spans="1:26" ht="28.5" customHeight="1" x14ac:dyDescent="0.25">
      <c r="A19" s="30" t="s">
        <v>829</v>
      </c>
      <c r="B19" s="162"/>
      <c r="C19" s="162"/>
      <c r="D19" s="22">
        <v>210.6</v>
      </c>
      <c r="E19" s="22">
        <v>276.8</v>
      </c>
      <c r="F19" s="22">
        <f t="shared" si="0"/>
        <v>-66.200000000000017</v>
      </c>
      <c r="G19" s="22">
        <f t="shared" si="1"/>
        <v>-23.916184971098271</v>
      </c>
      <c r="H19" s="160"/>
      <c r="I19" s="161"/>
      <c r="J19" s="17"/>
      <c r="K19" s="17"/>
      <c r="L19" s="17"/>
      <c r="M19" s="17"/>
      <c r="N19" s="17"/>
      <c r="O19" s="17"/>
      <c r="P19" s="17"/>
      <c r="Q19" s="17"/>
      <c r="R19" s="17"/>
      <c r="S19" s="17"/>
      <c r="T19" s="17"/>
      <c r="U19" s="17"/>
      <c r="V19" s="17"/>
      <c r="W19" s="17"/>
      <c r="X19" s="17"/>
      <c r="Y19" s="17"/>
      <c r="Z19" s="17"/>
    </row>
    <row r="20" spans="1:26" ht="28.5" customHeight="1" x14ac:dyDescent="0.25">
      <c r="A20" s="30" t="s">
        <v>830</v>
      </c>
      <c r="B20" s="162"/>
      <c r="C20" s="162"/>
      <c r="D20" s="22">
        <v>2591.6</v>
      </c>
      <c r="E20" s="22">
        <v>2576.1999999999998</v>
      </c>
      <c r="F20" s="22">
        <f t="shared" si="0"/>
        <v>15.400000000000091</v>
      </c>
      <c r="G20" s="22">
        <f t="shared" si="1"/>
        <v>0.59777967549103694</v>
      </c>
      <c r="H20" s="160"/>
      <c r="I20" s="161"/>
      <c r="J20" s="17"/>
      <c r="K20" s="17"/>
      <c r="L20" s="17"/>
      <c r="M20" s="17"/>
      <c r="N20" s="17"/>
      <c r="O20" s="17"/>
      <c r="P20" s="17"/>
      <c r="Q20" s="17"/>
      <c r="R20" s="17"/>
      <c r="S20" s="17"/>
      <c r="T20" s="17"/>
      <c r="U20" s="17"/>
      <c r="V20" s="17"/>
      <c r="W20" s="17"/>
      <c r="X20" s="17"/>
      <c r="Y20" s="17"/>
      <c r="Z20" s="17"/>
    </row>
    <row r="21" spans="1:26" ht="28.5" customHeight="1" x14ac:dyDescent="0.25">
      <c r="A21" s="30" t="s">
        <v>165</v>
      </c>
      <c r="B21" s="30"/>
      <c r="C21" s="30"/>
      <c r="D21" s="22">
        <v>94.599999999999909</v>
      </c>
      <c r="E21" s="22">
        <v>116.5</v>
      </c>
      <c r="F21" s="22">
        <f t="shared" si="0"/>
        <v>-21.900000000000091</v>
      </c>
      <c r="G21" s="22">
        <f t="shared" si="1"/>
        <v>-18.798283261802652</v>
      </c>
      <c r="H21" s="160"/>
      <c r="I21" s="161"/>
      <c r="J21" s="17"/>
      <c r="K21" s="17"/>
      <c r="L21" s="17"/>
      <c r="M21" s="17"/>
      <c r="N21" s="17"/>
      <c r="O21" s="17"/>
      <c r="P21" s="17"/>
      <c r="Q21" s="17"/>
      <c r="R21" s="17"/>
      <c r="S21" s="17"/>
      <c r="T21" s="17"/>
      <c r="U21" s="17"/>
      <c r="V21" s="17"/>
      <c r="W21" s="17"/>
      <c r="X21" s="17"/>
      <c r="Y21" s="17"/>
      <c r="Z21" s="17"/>
    </row>
    <row r="22" spans="1:26" ht="28.5" customHeight="1" x14ac:dyDescent="0.25">
      <c r="A22" s="30" t="s">
        <v>38</v>
      </c>
      <c r="B22" s="30"/>
      <c r="C22" s="30"/>
      <c r="D22" s="22">
        <v>2686.2</v>
      </c>
      <c r="E22" s="22">
        <v>2693</v>
      </c>
      <c r="F22" s="22">
        <f t="shared" si="0"/>
        <v>-6.8000000000001819</v>
      </c>
      <c r="G22" s="22">
        <f t="shared" si="1"/>
        <v>-0.2525064983290079</v>
      </c>
      <c r="H22" s="160"/>
      <c r="I22" s="161"/>
      <c r="J22" s="17"/>
      <c r="K22" s="17"/>
      <c r="L22" s="17"/>
      <c r="M22" s="17"/>
      <c r="N22" s="17"/>
      <c r="O22" s="17"/>
      <c r="P22" s="17"/>
      <c r="Q22" s="17"/>
      <c r="R22" s="17"/>
      <c r="S22" s="17"/>
      <c r="T22" s="17"/>
      <c r="U22" s="17"/>
      <c r="V22" s="17"/>
      <c r="W22" s="17"/>
      <c r="X22" s="17"/>
      <c r="Y22" s="17"/>
      <c r="Z22" s="17"/>
    </row>
  </sheetData>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2A5DB0"/>
  </sheetPr>
  <dimension ref="A1:Z15"/>
  <sheetViews>
    <sheetView workbookViewId="0">
      <pane ySplit="1" topLeftCell="A2" activePane="bottomLeft" state="frozen"/>
      <selection pane="bottomLeft"/>
    </sheetView>
  </sheetViews>
  <sheetFormatPr defaultColWidth="14.44140625" defaultRowHeight="15.75" customHeight="1" x14ac:dyDescent="0.25"/>
  <cols>
    <col min="1" max="1" width="33.5546875" customWidth="1"/>
    <col min="2" max="2" width="32.33203125" customWidth="1"/>
    <col min="3" max="3" width="28.6640625" customWidth="1"/>
    <col min="4" max="4" width="21.5546875" customWidth="1"/>
    <col min="5" max="5" width="22.5546875" customWidth="1"/>
    <col min="6" max="26" width="15.6640625" customWidth="1"/>
  </cols>
  <sheetData>
    <row r="1" spans="1:26" ht="34.5" customHeight="1" x14ac:dyDescent="0.25">
      <c r="A1" s="46" t="s">
        <v>1754</v>
      </c>
      <c r="B1" s="47" t="s">
        <v>10</v>
      </c>
      <c r="C1" s="47" t="s">
        <v>11</v>
      </c>
      <c r="D1" s="60" t="s">
        <v>1680</v>
      </c>
      <c r="E1" s="155" t="s">
        <v>1681</v>
      </c>
      <c r="F1" s="47" t="s">
        <v>1682</v>
      </c>
      <c r="G1" s="48" t="s">
        <v>1683</v>
      </c>
      <c r="H1" s="69"/>
      <c r="I1" s="69"/>
      <c r="J1" s="69"/>
      <c r="K1" s="69"/>
      <c r="L1" s="69"/>
      <c r="M1" s="69"/>
      <c r="N1" s="69"/>
      <c r="O1" s="69"/>
      <c r="P1" s="69"/>
      <c r="Q1" s="69"/>
      <c r="R1" s="69"/>
      <c r="S1" s="69"/>
      <c r="T1" s="69"/>
      <c r="U1" s="69"/>
      <c r="V1" s="69"/>
      <c r="W1" s="69"/>
      <c r="X1" s="69"/>
      <c r="Y1" s="69"/>
      <c r="Z1" s="69"/>
    </row>
    <row r="2" spans="1:26" ht="28.5" customHeight="1" x14ac:dyDescent="0.25">
      <c r="A2" s="11" t="s">
        <v>1755</v>
      </c>
      <c r="B2" s="163" t="s">
        <v>1756</v>
      </c>
      <c r="C2" s="11" t="s">
        <v>62</v>
      </c>
      <c r="D2" s="62">
        <v>1741.758</v>
      </c>
      <c r="E2" s="62">
        <v>1642.5250000000001</v>
      </c>
      <c r="F2" s="51">
        <f t="shared" ref="F2:F15" si="0">(D2-E2)</f>
        <v>99.232999999999947</v>
      </c>
      <c r="G2" s="51">
        <f>(F2/E2)*100</f>
        <v>6.0414909970928869</v>
      </c>
      <c r="H2" s="18"/>
      <c r="I2" s="18"/>
      <c r="J2" s="18"/>
      <c r="K2" s="18"/>
      <c r="L2" s="18"/>
      <c r="M2" s="18"/>
      <c r="N2" s="18"/>
      <c r="O2" s="18"/>
      <c r="P2" s="18"/>
      <c r="Q2" s="18"/>
      <c r="R2" s="18"/>
      <c r="S2" s="18"/>
      <c r="T2" s="18"/>
      <c r="U2" s="18"/>
      <c r="V2" s="18"/>
      <c r="W2" s="18"/>
      <c r="X2" s="18"/>
      <c r="Y2" s="18"/>
      <c r="Z2" s="18"/>
    </row>
    <row r="3" spans="1:26" ht="28.5" customHeight="1" x14ac:dyDescent="0.25">
      <c r="A3" s="11" t="s">
        <v>832</v>
      </c>
      <c r="B3" s="164" t="s">
        <v>833</v>
      </c>
      <c r="C3" s="11" t="s">
        <v>62</v>
      </c>
      <c r="D3" s="62">
        <v>15.263999999999999</v>
      </c>
      <c r="E3" s="62">
        <v>0</v>
      </c>
      <c r="F3" s="51">
        <f t="shared" si="0"/>
        <v>15.263999999999999</v>
      </c>
      <c r="G3" s="51" t="s">
        <v>67</v>
      </c>
      <c r="H3" s="18"/>
      <c r="I3" s="18"/>
      <c r="J3" s="18"/>
      <c r="K3" s="18"/>
      <c r="L3" s="18"/>
      <c r="M3" s="18"/>
      <c r="N3" s="18"/>
      <c r="O3" s="18"/>
      <c r="P3" s="18"/>
      <c r="Q3" s="18"/>
      <c r="R3" s="18"/>
      <c r="S3" s="18"/>
      <c r="T3" s="18"/>
      <c r="U3" s="18"/>
      <c r="V3" s="18"/>
      <c r="W3" s="18"/>
      <c r="X3" s="18"/>
      <c r="Y3" s="18"/>
      <c r="Z3" s="18"/>
    </row>
    <row r="4" spans="1:26" ht="28.5" customHeight="1" x14ac:dyDescent="0.25">
      <c r="A4" s="26" t="s">
        <v>834</v>
      </c>
      <c r="B4" s="165"/>
      <c r="C4" s="147" t="s">
        <v>62</v>
      </c>
      <c r="D4" s="166">
        <v>1757.0219999999999</v>
      </c>
      <c r="E4" s="166">
        <v>1642.5250000000001</v>
      </c>
      <c r="F4" s="19">
        <f t="shared" si="0"/>
        <v>114.49699999999984</v>
      </c>
      <c r="G4" s="19">
        <f t="shared" ref="G4:G9" si="1">(F4/E4)*100</f>
        <v>6.9707919209753184</v>
      </c>
      <c r="H4" s="18"/>
      <c r="I4" s="18"/>
      <c r="J4" s="18"/>
      <c r="K4" s="18"/>
      <c r="L4" s="18"/>
      <c r="M4" s="18"/>
      <c r="N4" s="18"/>
      <c r="O4" s="18"/>
      <c r="P4" s="18"/>
      <c r="Q4" s="18"/>
      <c r="R4" s="18"/>
      <c r="S4" s="18"/>
      <c r="T4" s="18"/>
      <c r="U4" s="18"/>
      <c r="V4" s="18"/>
      <c r="W4" s="18"/>
      <c r="X4" s="18"/>
      <c r="Y4" s="18"/>
      <c r="Z4" s="18"/>
    </row>
    <row r="5" spans="1:26" ht="28.5" customHeight="1" x14ac:dyDescent="0.25">
      <c r="A5" s="11" t="s">
        <v>835</v>
      </c>
      <c r="B5" s="163" t="s">
        <v>836</v>
      </c>
      <c r="C5" s="11" t="s">
        <v>62</v>
      </c>
      <c r="D5" s="62">
        <v>28.332999999999998</v>
      </c>
      <c r="E5" s="62">
        <v>3.714</v>
      </c>
      <c r="F5" s="51">
        <f t="shared" si="0"/>
        <v>24.619</v>
      </c>
      <c r="G5" s="51">
        <f t="shared" si="1"/>
        <v>662.8702207862143</v>
      </c>
      <c r="H5" s="18"/>
      <c r="I5" s="18"/>
      <c r="J5" s="18"/>
      <c r="K5" s="18"/>
      <c r="L5" s="18"/>
      <c r="M5" s="18"/>
      <c r="N5" s="18"/>
      <c r="O5" s="18"/>
      <c r="P5" s="18"/>
      <c r="Q5" s="18"/>
      <c r="R5" s="18"/>
      <c r="S5" s="18"/>
      <c r="T5" s="18"/>
      <c r="U5" s="18"/>
      <c r="V5" s="18"/>
      <c r="W5" s="18"/>
      <c r="X5" s="18"/>
      <c r="Y5" s="18"/>
      <c r="Z5" s="18"/>
    </row>
    <row r="6" spans="1:26" ht="28.5" customHeight="1" x14ac:dyDescent="0.25">
      <c r="A6" s="26" t="s">
        <v>633</v>
      </c>
      <c r="B6" s="165"/>
      <c r="C6" s="147" t="s">
        <v>62</v>
      </c>
      <c r="D6" s="166">
        <v>1785.355</v>
      </c>
      <c r="E6" s="166">
        <v>1646.239</v>
      </c>
      <c r="F6" s="19">
        <f t="shared" si="0"/>
        <v>139.11599999999999</v>
      </c>
      <c r="G6" s="19">
        <f t="shared" si="1"/>
        <v>8.4505348251377832</v>
      </c>
      <c r="H6" s="18"/>
      <c r="I6" s="18"/>
      <c r="J6" s="18"/>
      <c r="K6" s="18"/>
      <c r="L6" s="18"/>
      <c r="M6" s="18"/>
      <c r="N6" s="18"/>
      <c r="O6" s="18"/>
      <c r="P6" s="18"/>
      <c r="Q6" s="18"/>
      <c r="R6" s="18"/>
      <c r="S6" s="18"/>
      <c r="T6" s="18"/>
      <c r="U6" s="18"/>
      <c r="V6" s="18"/>
      <c r="W6" s="18"/>
      <c r="X6" s="18"/>
      <c r="Y6" s="18"/>
      <c r="Z6" s="18"/>
    </row>
    <row r="7" spans="1:26" ht="28.5" customHeight="1" x14ac:dyDescent="0.25">
      <c r="A7" s="49" t="s">
        <v>837</v>
      </c>
      <c r="B7" s="163" t="s">
        <v>838</v>
      </c>
      <c r="C7" s="11" t="s">
        <v>92</v>
      </c>
      <c r="D7" s="62">
        <v>195.84200000000001</v>
      </c>
      <c r="E7" s="62">
        <v>172.93799999999999</v>
      </c>
      <c r="F7" s="51">
        <f t="shared" si="0"/>
        <v>22.904000000000025</v>
      </c>
      <c r="G7" s="51">
        <f t="shared" si="1"/>
        <v>13.244052781921861</v>
      </c>
      <c r="H7" s="18"/>
      <c r="I7" s="18"/>
      <c r="J7" s="18"/>
      <c r="K7" s="18"/>
      <c r="L7" s="18"/>
      <c r="M7" s="18"/>
      <c r="N7" s="18"/>
      <c r="O7" s="18"/>
      <c r="P7" s="18"/>
      <c r="Q7" s="18"/>
      <c r="R7" s="18"/>
      <c r="S7" s="18"/>
      <c r="T7" s="18"/>
      <c r="U7" s="18"/>
      <c r="V7" s="18"/>
      <c r="W7" s="18"/>
      <c r="X7" s="18"/>
      <c r="Y7" s="18"/>
      <c r="Z7" s="18"/>
    </row>
    <row r="8" spans="1:26" ht="28.5" customHeight="1" x14ac:dyDescent="0.25">
      <c r="A8" s="11" t="s">
        <v>839</v>
      </c>
      <c r="B8" s="163" t="s">
        <v>840</v>
      </c>
      <c r="C8" s="11" t="s">
        <v>49</v>
      </c>
      <c r="D8" s="62">
        <v>147.136</v>
      </c>
      <c r="E8" s="62">
        <v>177.465</v>
      </c>
      <c r="F8" s="51">
        <f t="shared" si="0"/>
        <v>-30.329000000000008</v>
      </c>
      <c r="G8" s="51">
        <f t="shared" si="1"/>
        <v>-17.090130448257408</v>
      </c>
      <c r="H8" s="18"/>
      <c r="I8" s="18"/>
      <c r="J8" s="18"/>
      <c r="K8" s="18"/>
      <c r="L8" s="18"/>
      <c r="M8" s="18"/>
      <c r="N8" s="18"/>
      <c r="O8" s="18"/>
      <c r="P8" s="18"/>
      <c r="Q8" s="18"/>
      <c r="R8" s="18"/>
      <c r="S8" s="18"/>
      <c r="T8" s="18"/>
      <c r="U8" s="18"/>
      <c r="V8" s="18"/>
      <c r="W8" s="18"/>
      <c r="X8" s="18"/>
      <c r="Y8" s="18"/>
      <c r="Z8" s="18"/>
    </row>
    <row r="9" spans="1:26" ht="28.5" customHeight="1" x14ac:dyDescent="0.25">
      <c r="A9" s="11" t="s">
        <v>841</v>
      </c>
      <c r="B9" s="163" t="s">
        <v>842</v>
      </c>
      <c r="C9" s="11" t="s">
        <v>49</v>
      </c>
      <c r="D9" s="62">
        <v>121.105</v>
      </c>
      <c r="E9" s="62">
        <v>121.407</v>
      </c>
      <c r="F9" s="51">
        <f t="shared" si="0"/>
        <v>-0.3019999999999925</v>
      </c>
      <c r="G9" s="51">
        <f t="shared" si="1"/>
        <v>-0.2487500720716207</v>
      </c>
      <c r="H9" s="18"/>
      <c r="I9" s="18"/>
      <c r="J9" s="18"/>
      <c r="K9" s="18"/>
      <c r="L9" s="18"/>
      <c r="M9" s="18"/>
      <c r="N9" s="18"/>
      <c r="O9" s="18"/>
      <c r="P9" s="18"/>
      <c r="Q9" s="18"/>
      <c r="R9" s="18"/>
      <c r="S9" s="18"/>
      <c r="T9" s="18"/>
      <c r="U9" s="18"/>
      <c r="V9" s="18"/>
      <c r="W9" s="18"/>
      <c r="X9" s="18"/>
      <c r="Y9" s="18"/>
      <c r="Z9" s="18"/>
    </row>
    <row r="10" spans="1:26" ht="28.5" customHeight="1" x14ac:dyDescent="0.25">
      <c r="A10" s="11" t="s">
        <v>843</v>
      </c>
      <c r="B10" s="163" t="s">
        <v>844</v>
      </c>
      <c r="C10" s="11" t="s">
        <v>49</v>
      </c>
      <c r="D10" s="62">
        <v>90.38</v>
      </c>
      <c r="E10" s="62">
        <v>0</v>
      </c>
      <c r="F10" s="51">
        <f t="shared" si="0"/>
        <v>90.38</v>
      </c>
      <c r="G10" s="51" t="s">
        <v>67</v>
      </c>
      <c r="H10" s="18"/>
      <c r="I10" s="18"/>
      <c r="J10" s="18"/>
      <c r="K10" s="18"/>
      <c r="L10" s="18"/>
      <c r="M10" s="18"/>
      <c r="N10" s="18"/>
      <c r="O10" s="18"/>
      <c r="P10" s="18"/>
      <c r="Q10" s="18"/>
      <c r="R10" s="18"/>
      <c r="S10" s="18"/>
      <c r="T10" s="18"/>
      <c r="U10" s="18"/>
      <c r="V10" s="18"/>
      <c r="W10" s="18"/>
      <c r="X10" s="18"/>
      <c r="Y10" s="18"/>
      <c r="Z10" s="18"/>
    </row>
    <row r="11" spans="1:26" ht="28.5" customHeight="1" x14ac:dyDescent="0.25">
      <c r="A11" s="26" t="s">
        <v>198</v>
      </c>
      <c r="B11" s="165"/>
      <c r="C11" s="147" t="s">
        <v>49</v>
      </c>
      <c r="D11" s="166">
        <v>554.46299999999997</v>
      </c>
      <c r="E11" s="166">
        <v>471.81</v>
      </c>
      <c r="F11" s="19">
        <f t="shared" si="0"/>
        <v>82.652999999999963</v>
      </c>
      <c r="G11" s="19">
        <f t="shared" ref="G11:G15" si="2">(F11/E11)*100</f>
        <v>17.518280663826534</v>
      </c>
      <c r="H11" s="18"/>
      <c r="I11" s="18"/>
      <c r="J11" s="18"/>
      <c r="K11" s="18"/>
      <c r="L11" s="18"/>
      <c r="M11" s="18"/>
      <c r="N11" s="18"/>
      <c r="O11" s="18"/>
      <c r="P11" s="18"/>
      <c r="Q11" s="18"/>
      <c r="R11" s="18"/>
      <c r="S11" s="18"/>
      <c r="T11" s="18"/>
      <c r="U11" s="18"/>
      <c r="V11" s="18"/>
      <c r="W11" s="18"/>
      <c r="X11" s="18"/>
      <c r="Y11" s="18"/>
      <c r="Z11" s="18"/>
    </row>
    <row r="12" spans="1:26" ht="28.5" customHeight="1" x14ac:dyDescent="0.25">
      <c r="A12" s="11" t="s">
        <v>177</v>
      </c>
      <c r="B12" s="163"/>
      <c r="C12" s="11"/>
      <c r="D12" s="62">
        <v>6.8419999999999996</v>
      </c>
      <c r="E12" s="62">
        <v>17.552</v>
      </c>
      <c r="F12" s="51">
        <f t="shared" si="0"/>
        <v>-10.71</v>
      </c>
      <c r="G12" s="51">
        <f t="shared" si="2"/>
        <v>-61.018687329079313</v>
      </c>
      <c r="H12" s="18"/>
      <c r="I12" s="18"/>
      <c r="J12" s="18"/>
      <c r="K12" s="18"/>
      <c r="L12" s="18"/>
      <c r="M12" s="18"/>
      <c r="N12" s="18"/>
      <c r="O12" s="18"/>
      <c r="P12" s="18"/>
      <c r="Q12" s="18"/>
      <c r="R12" s="18"/>
      <c r="S12" s="18"/>
      <c r="T12" s="18"/>
      <c r="U12" s="18"/>
      <c r="V12" s="18"/>
      <c r="W12" s="18"/>
      <c r="X12" s="18"/>
      <c r="Y12" s="18"/>
      <c r="Z12" s="18"/>
    </row>
    <row r="13" spans="1:26" ht="28.5" customHeight="1" x14ac:dyDescent="0.25">
      <c r="A13" s="26" t="s">
        <v>845</v>
      </c>
      <c r="B13" s="165"/>
      <c r="C13" s="165"/>
      <c r="D13" s="166">
        <v>2346.66</v>
      </c>
      <c r="E13" s="166">
        <v>2135.6010000000001</v>
      </c>
      <c r="F13" s="19">
        <f t="shared" si="0"/>
        <v>211.05899999999974</v>
      </c>
      <c r="G13" s="19">
        <f t="shared" si="2"/>
        <v>9.8828854266316473</v>
      </c>
      <c r="H13" s="18"/>
      <c r="I13" s="18"/>
      <c r="J13" s="18"/>
      <c r="K13" s="18"/>
      <c r="L13" s="18"/>
      <c r="M13" s="18"/>
      <c r="N13" s="18"/>
      <c r="O13" s="18"/>
      <c r="P13" s="18"/>
      <c r="Q13" s="18"/>
      <c r="R13" s="18"/>
      <c r="S13" s="18"/>
      <c r="T13" s="18"/>
      <c r="U13" s="18"/>
      <c r="V13" s="18"/>
      <c r="W13" s="18"/>
      <c r="X13" s="18"/>
      <c r="Y13" s="18"/>
      <c r="Z13" s="18"/>
    </row>
    <row r="14" spans="1:26" ht="28.5" customHeight="1" x14ac:dyDescent="0.25">
      <c r="A14" s="11" t="s">
        <v>846</v>
      </c>
      <c r="B14" s="11"/>
      <c r="C14" s="11"/>
      <c r="D14" s="62">
        <v>16.907</v>
      </c>
      <c r="E14" s="62">
        <v>26.16</v>
      </c>
      <c r="F14" s="51">
        <f t="shared" si="0"/>
        <v>-9.2530000000000001</v>
      </c>
      <c r="G14" s="51">
        <f t="shared" si="2"/>
        <v>-35.370795107033636</v>
      </c>
      <c r="H14" s="18"/>
      <c r="I14" s="18"/>
      <c r="J14" s="18"/>
      <c r="K14" s="18"/>
      <c r="L14" s="18"/>
      <c r="M14" s="18"/>
      <c r="N14" s="18"/>
      <c r="O14" s="18"/>
      <c r="P14" s="18"/>
      <c r="Q14" s="18"/>
      <c r="R14" s="18"/>
      <c r="S14" s="18"/>
      <c r="T14" s="18"/>
      <c r="U14" s="18"/>
      <c r="V14" s="18"/>
      <c r="W14" s="18"/>
      <c r="X14" s="18"/>
      <c r="Y14" s="18"/>
      <c r="Z14" s="18"/>
    </row>
    <row r="15" spans="1:26" ht="28.5" customHeight="1" x14ac:dyDescent="0.25">
      <c r="A15" s="26" t="s">
        <v>101</v>
      </c>
      <c r="B15" s="165"/>
      <c r="C15" s="165"/>
      <c r="D15" s="166">
        <v>2363.567</v>
      </c>
      <c r="E15" s="166">
        <v>2161.761</v>
      </c>
      <c r="F15" s="19">
        <f t="shared" si="0"/>
        <v>201.80600000000004</v>
      </c>
      <c r="G15" s="19">
        <f t="shared" si="2"/>
        <v>9.335259540717038</v>
      </c>
      <c r="H15" s="52"/>
      <c r="I15" s="18"/>
      <c r="J15" s="18"/>
      <c r="K15" s="18"/>
      <c r="L15" s="18"/>
      <c r="M15" s="18"/>
      <c r="N15" s="18"/>
      <c r="O15" s="18"/>
      <c r="P15" s="18"/>
      <c r="Q15" s="18"/>
      <c r="R15" s="18"/>
      <c r="S15" s="18"/>
      <c r="T15" s="18"/>
      <c r="U15" s="18"/>
      <c r="V15" s="18"/>
      <c r="W15" s="18"/>
      <c r="X15" s="18"/>
      <c r="Y15" s="18"/>
      <c r="Z15" s="18"/>
    </row>
  </sheetData>
  <pageMargins left="0.7" right="0.7" top="0.75" bottom="0.75" header="0" footer="0"/>
  <pageSetup orientation="portrait"/>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2A5DB0"/>
  </sheetPr>
  <dimension ref="A1:Z42"/>
  <sheetViews>
    <sheetView workbookViewId="0">
      <pane ySplit="1" topLeftCell="A2" activePane="bottomLeft" state="frozen"/>
      <selection pane="bottomLeft"/>
    </sheetView>
  </sheetViews>
  <sheetFormatPr defaultColWidth="14.44140625" defaultRowHeight="15.75" customHeight="1" x14ac:dyDescent="0.25"/>
  <cols>
    <col min="1" max="1" width="37.88671875" customWidth="1"/>
    <col min="2" max="2" width="25.33203125" customWidth="1"/>
    <col min="3" max="3" width="35" customWidth="1"/>
    <col min="4" max="5" width="18" customWidth="1"/>
    <col min="6" max="7" width="15.6640625" customWidth="1"/>
    <col min="8" max="26" width="20.6640625" customWidth="1"/>
  </cols>
  <sheetData>
    <row r="1" spans="1:26" ht="34.5" customHeight="1" x14ac:dyDescent="0.25">
      <c r="A1" s="167" t="s">
        <v>1757</v>
      </c>
      <c r="B1" s="168" t="s">
        <v>10</v>
      </c>
      <c r="C1" s="168" t="s">
        <v>11</v>
      </c>
      <c r="D1" s="106" t="s">
        <v>1687</v>
      </c>
      <c r="E1" s="106" t="s">
        <v>1688</v>
      </c>
      <c r="F1" s="168" t="s">
        <v>1682</v>
      </c>
      <c r="G1" s="106" t="s">
        <v>1683</v>
      </c>
      <c r="H1" s="57"/>
      <c r="I1" s="57"/>
      <c r="J1" s="57"/>
      <c r="K1" s="57"/>
      <c r="L1" s="57"/>
      <c r="M1" s="57"/>
      <c r="N1" s="57"/>
      <c r="O1" s="57"/>
      <c r="P1" s="57"/>
      <c r="Q1" s="57"/>
      <c r="R1" s="57"/>
      <c r="S1" s="57"/>
      <c r="T1" s="57"/>
      <c r="U1" s="57"/>
      <c r="V1" s="57"/>
      <c r="W1" s="57"/>
      <c r="X1" s="57"/>
      <c r="Y1" s="57"/>
      <c r="Z1" s="57"/>
    </row>
    <row r="2" spans="1:26" ht="28.5" customHeight="1" x14ac:dyDescent="0.25">
      <c r="A2" s="4" t="s">
        <v>1006</v>
      </c>
      <c r="B2" s="4" t="s">
        <v>1007</v>
      </c>
      <c r="C2" s="4" t="s">
        <v>43</v>
      </c>
      <c r="D2" s="157">
        <v>3747</v>
      </c>
      <c r="E2" s="157">
        <v>4380</v>
      </c>
      <c r="F2" s="157">
        <f t="shared" ref="F2:F42" si="0">D2-E2</f>
        <v>-633</v>
      </c>
      <c r="G2" s="157">
        <f t="shared" ref="G2:G42" si="1">(F2/E2)*100</f>
        <v>-14.452054794520548</v>
      </c>
      <c r="H2" s="17"/>
      <c r="I2" s="17"/>
      <c r="J2" s="17"/>
      <c r="K2" s="17"/>
      <c r="L2" s="17"/>
      <c r="M2" s="17"/>
      <c r="N2" s="17"/>
      <c r="O2" s="17"/>
      <c r="P2" s="17"/>
      <c r="Q2" s="17"/>
      <c r="R2" s="17"/>
      <c r="S2" s="17"/>
      <c r="T2" s="17"/>
      <c r="U2" s="17"/>
      <c r="V2" s="17"/>
      <c r="W2" s="17"/>
      <c r="X2" s="17"/>
      <c r="Y2" s="17"/>
      <c r="Z2" s="17"/>
    </row>
    <row r="3" spans="1:26" ht="28.5" customHeight="1" x14ac:dyDescent="0.25">
      <c r="A3" s="4" t="s">
        <v>848</v>
      </c>
      <c r="B3" s="4" t="s">
        <v>849</v>
      </c>
      <c r="C3" s="4" t="s">
        <v>43</v>
      </c>
      <c r="D3" s="108">
        <v>2243</v>
      </c>
      <c r="E3" s="108">
        <v>2188</v>
      </c>
      <c r="F3" s="157">
        <f t="shared" si="0"/>
        <v>55</v>
      </c>
      <c r="G3" s="157">
        <f t="shared" si="1"/>
        <v>2.5137111517367456</v>
      </c>
      <c r="H3" s="16"/>
      <c r="I3" s="17"/>
      <c r="J3" s="17"/>
      <c r="K3" s="17"/>
      <c r="L3" s="17"/>
      <c r="M3" s="17"/>
      <c r="N3" s="17"/>
      <c r="O3" s="17"/>
      <c r="P3" s="17"/>
      <c r="Q3" s="17"/>
      <c r="R3" s="17"/>
      <c r="S3" s="17"/>
      <c r="T3" s="17"/>
      <c r="U3" s="17"/>
      <c r="V3" s="17"/>
      <c r="W3" s="17"/>
      <c r="X3" s="17"/>
      <c r="Y3" s="17"/>
      <c r="Z3" s="17"/>
    </row>
    <row r="4" spans="1:26" ht="28.5" customHeight="1" x14ac:dyDescent="0.25">
      <c r="A4" s="4" t="s">
        <v>850</v>
      </c>
      <c r="B4" s="4" t="s">
        <v>851</v>
      </c>
      <c r="C4" s="4" t="s">
        <v>43</v>
      </c>
      <c r="D4" s="108">
        <v>7707</v>
      </c>
      <c r="E4" s="108">
        <v>6361</v>
      </c>
      <c r="F4" s="157">
        <f t="shared" si="0"/>
        <v>1346</v>
      </c>
      <c r="G4" s="157">
        <f t="shared" si="1"/>
        <v>21.160194937902848</v>
      </c>
      <c r="H4" s="17"/>
      <c r="I4" s="17"/>
      <c r="J4" s="17"/>
      <c r="K4" s="17"/>
      <c r="L4" s="17"/>
      <c r="M4" s="17"/>
      <c r="N4" s="17"/>
      <c r="O4" s="17"/>
      <c r="P4" s="17"/>
      <c r="Q4" s="17"/>
      <c r="R4" s="17"/>
      <c r="S4" s="17"/>
      <c r="T4" s="17"/>
      <c r="U4" s="17"/>
      <c r="V4" s="17"/>
      <c r="W4" s="17"/>
      <c r="X4" s="17"/>
      <c r="Y4" s="17"/>
      <c r="Z4" s="17"/>
    </row>
    <row r="5" spans="1:26" ht="28.5" customHeight="1" x14ac:dyDescent="0.25">
      <c r="A5" s="4" t="s">
        <v>852</v>
      </c>
      <c r="B5" s="4" t="s">
        <v>853</v>
      </c>
      <c r="C5" s="4" t="s">
        <v>43</v>
      </c>
      <c r="D5" s="108">
        <v>1347</v>
      </c>
      <c r="E5" s="108">
        <v>1012</v>
      </c>
      <c r="F5" s="157">
        <f t="shared" si="0"/>
        <v>335</v>
      </c>
      <c r="G5" s="157">
        <f t="shared" si="1"/>
        <v>33.102766798418969</v>
      </c>
      <c r="H5" s="17"/>
      <c r="I5" s="17"/>
      <c r="J5" s="17"/>
      <c r="K5" s="17"/>
      <c r="L5" s="17"/>
      <c r="M5" s="17"/>
      <c r="N5" s="17"/>
      <c r="O5" s="17"/>
      <c r="P5" s="17"/>
      <c r="Q5" s="17"/>
      <c r="R5" s="17"/>
      <c r="S5" s="17"/>
      <c r="T5" s="17"/>
      <c r="U5" s="17"/>
      <c r="V5" s="17"/>
      <c r="W5" s="17"/>
      <c r="X5" s="17"/>
      <c r="Y5" s="17"/>
      <c r="Z5" s="17"/>
    </row>
    <row r="6" spans="1:26" ht="28.5" customHeight="1" x14ac:dyDescent="0.25">
      <c r="A6" s="4" t="s">
        <v>625</v>
      </c>
      <c r="B6" s="4"/>
      <c r="C6" s="169" t="s">
        <v>43</v>
      </c>
      <c r="D6" s="157">
        <v>11</v>
      </c>
      <c r="E6" s="157">
        <v>10</v>
      </c>
      <c r="F6" s="157">
        <f t="shared" si="0"/>
        <v>1</v>
      </c>
      <c r="G6" s="157">
        <f t="shared" si="1"/>
        <v>10</v>
      </c>
      <c r="H6" s="17"/>
      <c r="I6" s="17"/>
      <c r="J6" s="17"/>
      <c r="K6" s="17"/>
      <c r="L6" s="17"/>
      <c r="M6" s="17"/>
      <c r="N6" s="17"/>
      <c r="O6" s="17"/>
      <c r="P6" s="17"/>
      <c r="Q6" s="17"/>
      <c r="R6" s="17"/>
      <c r="S6" s="17"/>
      <c r="T6" s="17"/>
      <c r="U6" s="17"/>
      <c r="V6" s="17"/>
      <c r="W6" s="17"/>
      <c r="X6" s="17"/>
      <c r="Y6" s="17"/>
      <c r="Z6" s="17"/>
    </row>
    <row r="7" spans="1:26" ht="28.5" customHeight="1" x14ac:dyDescent="0.25">
      <c r="A7" s="170" t="s">
        <v>626</v>
      </c>
      <c r="B7" s="170"/>
      <c r="C7" s="171" t="s">
        <v>43</v>
      </c>
      <c r="D7" s="172">
        <v>15055</v>
      </c>
      <c r="E7" s="172">
        <v>13950</v>
      </c>
      <c r="F7" s="172">
        <f t="shared" si="0"/>
        <v>1105</v>
      </c>
      <c r="G7" s="172">
        <f t="shared" si="1"/>
        <v>7.9211469534050183</v>
      </c>
      <c r="H7" s="17"/>
      <c r="I7" s="16"/>
      <c r="J7" s="17"/>
      <c r="K7" s="17"/>
      <c r="L7" s="17"/>
      <c r="M7" s="17"/>
      <c r="N7" s="17"/>
      <c r="O7" s="17"/>
      <c r="P7" s="17"/>
      <c r="Q7" s="17"/>
      <c r="R7" s="17"/>
      <c r="S7" s="17"/>
      <c r="T7" s="17"/>
      <c r="U7" s="17"/>
      <c r="V7" s="17"/>
      <c r="W7" s="17"/>
      <c r="X7" s="17"/>
      <c r="Y7" s="17"/>
      <c r="Z7" s="17"/>
    </row>
    <row r="8" spans="1:26" ht="28.5" customHeight="1" x14ac:dyDescent="0.25">
      <c r="A8" s="4" t="s">
        <v>854</v>
      </c>
      <c r="B8" s="4" t="s">
        <v>855</v>
      </c>
      <c r="C8" s="4" t="s">
        <v>89</v>
      </c>
      <c r="D8" s="157">
        <v>964</v>
      </c>
      <c r="E8" s="157">
        <v>861</v>
      </c>
      <c r="F8" s="157">
        <f t="shared" si="0"/>
        <v>103</v>
      </c>
      <c r="G8" s="157">
        <f t="shared" si="1"/>
        <v>11.962833914053427</v>
      </c>
      <c r="H8" s="17"/>
      <c r="I8" s="17"/>
      <c r="J8" s="17"/>
      <c r="K8" s="17"/>
      <c r="L8" s="17"/>
      <c r="M8" s="17"/>
      <c r="N8" s="17"/>
      <c r="O8" s="17"/>
      <c r="P8" s="17"/>
      <c r="Q8" s="17"/>
      <c r="R8" s="17"/>
      <c r="S8" s="17"/>
      <c r="T8" s="17"/>
      <c r="U8" s="17"/>
      <c r="V8" s="17"/>
      <c r="W8" s="17"/>
      <c r="X8" s="17"/>
      <c r="Y8" s="17"/>
      <c r="Z8" s="17"/>
    </row>
    <row r="9" spans="1:26" ht="28.5" customHeight="1" x14ac:dyDescent="0.25">
      <c r="A9" s="4" t="s">
        <v>856</v>
      </c>
      <c r="B9" s="4" t="s">
        <v>857</v>
      </c>
      <c r="C9" s="4" t="s">
        <v>89</v>
      </c>
      <c r="D9" s="157">
        <v>2184</v>
      </c>
      <c r="E9" s="157">
        <v>2110</v>
      </c>
      <c r="F9" s="157">
        <f t="shared" si="0"/>
        <v>74</v>
      </c>
      <c r="G9" s="157">
        <f t="shared" si="1"/>
        <v>3.5071090047393367</v>
      </c>
      <c r="H9" s="17"/>
      <c r="I9" s="17"/>
      <c r="J9" s="17"/>
      <c r="K9" s="17"/>
      <c r="L9" s="17"/>
      <c r="M9" s="17"/>
      <c r="N9" s="17"/>
      <c r="O9" s="17"/>
      <c r="P9" s="17"/>
      <c r="Q9" s="17"/>
      <c r="R9" s="17"/>
      <c r="S9" s="17"/>
      <c r="T9" s="17"/>
      <c r="U9" s="17"/>
      <c r="V9" s="17"/>
      <c r="W9" s="17"/>
      <c r="X9" s="17"/>
      <c r="Y9" s="17"/>
      <c r="Z9" s="17"/>
    </row>
    <row r="10" spans="1:26" ht="28.5" customHeight="1" x14ac:dyDescent="0.25">
      <c r="A10" s="4" t="s">
        <v>858</v>
      </c>
      <c r="B10" s="4"/>
      <c r="C10" s="4" t="s">
        <v>89</v>
      </c>
      <c r="D10" s="157">
        <v>427</v>
      </c>
      <c r="E10" s="157">
        <v>441</v>
      </c>
      <c r="F10" s="157">
        <f t="shared" si="0"/>
        <v>-14</v>
      </c>
      <c r="G10" s="157">
        <f t="shared" si="1"/>
        <v>-3.1746031746031744</v>
      </c>
      <c r="H10" s="17"/>
      <c r="I10" s="17"/>
      <c r="J10" s="17"/>
      <c r="K10" s="17"/>
      <c r="L10" s="17"/>
      <c r="M10" s="17"/>
      <c r="N10" s="17"/>
      <c r="O10" s="17"/>
      <c r="P10" s="17"/>
      <c r="Q10" s="17"/>
      <c r="R10" s="17"/>
      <c r="S10" s="17"/>
      <c r="T10" s="17"/>
      <c r="U10" s="17"/>
      <c r="V10" s="17"/>
      <c r="W10" s="17"/>
      <c r="X10" s="17"/>
      <c r="Y10" s="17"/>
      <c r="Z10" s="17"/>
    </row>
    <row r="11" spans="1:26" ht="28.5" customHeight="1" x14ac:dyDescent="0.25">
      <c r="A11" s="170" t="s">
        <v>859</v>
      </c>
      <c r="B11" s="170"/>
      <c r="C11" s="171" t="s">
        <v>89</v>
      </c>
      <c r="D11" s="172">
        <v>3574</v>
      </c>
      <c r="E11" s="172">
        <v>3413</v>
      </c>
      <c r="F11" s="172">
        <f t="shared" si="0"/>
        <v>161</v>
      </c>
      <c r="G11" s="172">
        <f t="shared" si="1"/>
        <v>4.7172575446820977</v>
      </c>
      <c r="H11" s="17"/>
      <c r="I11" s="17"/>
      <c r="J11" s="17"/>
      <c r="K11" s="17"/>
      <c r="L11" s="17"/>
      <c r="M11" s="17"/>
      <c r="N11" s="17"/>
      <c r="O11" s="17"/>
      <c r="P11" s="17"/>
      <c r="Q11" s="17"/>
      <c r="R11" s="17"/>
      <c r="S11" s="17"/>
      <c r="T11" s="17"/>
      <c r="U11" s="17"/>
      <c r="V11" s="17"/>
      <c r="W11" s="17"/>
      <c r="X11" s="17"/>
      <c r="Y11" s="17"/>
      <c r="Z11" s="17"/>
    </row>
    <row r="12" spans="1:26" ht="28.5" customHeight="1" x14ac:dyDescent="0.25">
      <c r="A12" s="4" t="s">
        <v>860</v>
      </c>
      <c r="B12" s="4" t="s">
        <v>861</v>
      </c>
      <c r="C12" s="4" t="s">
        <v>62</v>
      </c>
      <c r="D12" s="157">
        <v>622</v>
      </c>
      <c r="E12" s="157">
        <v>696</v>
      </c>
      <c r="F12" s="157">
        <f t="shared" si="0"/>
        <v>-74</v>
      </c>
      <c r="G12" s="157">
        <f t="shared" si="1"/>
        <v>-10.632183908045976</v>
      </c>
      <c r="H12" s="16"/>
      <c r="I12" s="17"/>
      <c r="J12" s="17"/>
      <c r="K12" s="17"/>
      <c r="L12" s="17"/>
      <c r="M12" s="17"/>
      <c r="N12" s="17"/>
      <c r="O12" s="17"/>
      <c r="P12" s="17"/>
      <c r="Q12" s="17"/>
      <c r="R12" s="17"/>
      <c r="S12" s="17"/>
      <c r="T12" s="17"/>
      <c r="U12" s="17"/>
      <c r="V12" s="17"/>
      <c r="W12" s="17"/>
      <c r="X12" s="17"/>
      <c r="Y12" s="17"/>
      <c r="Z12" s="17"/>
    </row>
    <row r="13" spans="1:26" ht="28.5" customHeight="1" x14ac:dyDescent="0.25">
      <c r="A13" s="4" t="s">
        <v>862</v>
      </c>
      <c r="B13" s="4" t="s">
        <v>863</v>
      </c>
      <c r="C13" s="4" t="s">
        <v>62</v>
      </c>
      <c r="D13" s="157">
        <v>3653</v>
      </c>
      <c r="E13" s="157">
        <v>3330</v>
      </c>
      <c r="F13" s="157">
        <f t="shared" si="0"/>
        <v>323</v>
      </c>
      <c r="G13" s="157">
        <f t="shared" si="1"/>
        <v>9.6996996996996998</v>
      </c>
      <c r="H13" s="17"/>
      <c r="I13" s="17"/>
      <c r="J13" s="17"/>
      <c r="K13" s="17"/>
      <c r="L13" s="17"/>
      <c r="M13" s="17"/>
      <c r="N13" s="17"/>
      <c r="O13" s="17"/>
      <c r="P13" s="17"/>
      <c r="Q13" s="17"/>
      <c r="R13" s="17"/>
      <c r="S13" s="17"/>
      <c r="T13" s="17"/>
      <c r="U13" s="17"/>
      <c r="V13" s="17"/>
      <c r="W13" s="17"/>
      <c r="X13" s="17"/>
      <c r="Y13" s="17"/>
      <c r="Z13" s="17"/>
    </row>
    <row r="14" spans="1:26" ht="28.5" customHeight="1" x14ac:dyDescent="0.25">
      <c r="A14" s="4" t="s">
        <v>864</v>
      </c>
      <c r="B14" s="4" t="s">
        <v>865</v>
      </c>
      <c r="C14" s="4" t="s">
        <v>62</v>
      </c>
      <c r="D14" s="157">
        <v>642</v>
      </c>
      <c r="E14" s="157">
        <v>688</v>
      </c>
      <c r="F14" s="157">
        <f t="shared" si="0"/>
        <v>-46</v>
      </c>
      <c r="G14" s="157">
        <f t="shared" si="1"/>
        <v>-6.6860465116279064</v>
      </c>
      <c r="H14" s="17"/>
      <c r="I14" s="17"/>
      <c r="J14" s="17"/>
      <c r="K14" s="17"/>
      <c r="L14" s="17"/>
      <c r="M14" s="17"/>
      <c r="N14" s="17"/>
      <c r="O14" s="17"/>
      <c r="P14" s="17"/>
      <c r="Q14" s="17"/>
      <c r="R14" s="17"/>
      <c r="S14" s="17"/>
      <c r="T14" s="17"/>
      <c r="U14" s="17"/>
      <c r="V14" s="17"/>
      <c r="W14" s="17"/>
      <c r="X14" s="17"/>
      <c r="Y14" s="17"/>
      <c r="Z14" s="17"/>
    </row>
    <row r="15" spans="1:26" ht="28.5" customHeight="1" x14ac:dyDescent="0.25">
      <c r="A15" s="4" t="s">
        <v>68</v>
      </c>
      <c r="B15" s="4"/>
      <c r="C15" s="4" t="s">
        <v>62</v>
      </c>
      <c r="D15" s="157">
        <v>1632</v>
      </c>
      <c r="E15" s="157">
        <v>1614</v>
      </c>
      <c r="F15" s="157">
        <f t="shared" si="0"/>
        <v>18</v>
      </c>
      <c r="G15" s="157">
        <f t="shared" si="1"/>
        <v>1.1152416356877324</v>
      </c>
      <c r="H15" s="16"/>
      <c r="I15" s="17"/>
      <c r="J15" s="17"/>
      <c r="K15" s="17"/>
      <c r="L15" s="17"/>
      <c r="M15" s="17"/>
      <c r="N15" s="17"/>
      <c r="O15" s="17"/>
      <c r="P15" s="17"/>
      <c r="Q15" s="17"/>
      <c r="R15" s="17"/>
      <c r="S15" s="17"/>
      <c r="T15" s="17"/>
      <c r="U15" s="17"/>
      <c r="V15" s="17"/>
      <c r="W15" s="17"/>
      <c r="X15" s="17"/>
      <c r="Y15" s="17"/>
      <c r="Z15" s="17"/>
    </row>
    <row r="16" spans="1:26" ht="28.5" customHeight="1" x14ac:dyDescent="0.25">
      <c r="A16" s="170" t="s">
        <v>633</v>
      </c>
      <c r="B16" s="170"/>
      <c r="C16" s="171" t="s">
        <v>62</v>
      </c>
      <c r="D16" s="172">
        <v>6548</v>
      </c>
      <c r="E16" s="172">
        <v>6328</v>
      </c>
      <c r="F16" s="172">
        <f t="shared" si="0"/>
        <v>220</v>
      </c>
      <c r="G16" s="172">
        <f t="shared" si="1"/>
        <v>3.4766118836915298</v>
      </c>
      <c r="H16" s="17"/>
      <c r="I16" s="17"/>
      <c r="J16" s="17"/>
      <c r="K16" s="17"/>
      <c r="L16" s="17"/>
      <c r="M16" s="17"/>
      <c r="N16" s="17"/>
      <c r="O16" s="17"/>
      <c r="P16" s="17"/>
      <c r="Q16" s="17"/>
      <c r="R16" s="17"/>
      <c r="S16" s="17"/>
      <c r="T16" s="17"/>
      <c r="U16" s="17"/>
      <c r="V16" s="17"/>
      <c r="W16" s="17"/>
      <c r="X16" s="17"/>
      <c r="Y16" s="17"/>
      <c r="Z16" s="17"/>
    </row>
    <row r="17" spans="1:26" ht="28.5" customHeight="1" x14ac:dyDescent="0.25">
      <c r="A17" s="4" t="s">
        <v>866</v>
      </c>
      <c r="B17" s="4" t="s">
        <v>867</v>
      </c>
      <c r="C17" s="4" t="s">
        <v>49</v>
      </c>
      <c r="D17" s="157">
        <v>4190</v>
      </c>
      <c r="E17" s="157">
        <v>2998</v>
      </c>
      <c r="F17" s="157">
        <f t="shared" si="0"/>
        <v>1192</v>
      </c>
      <c r="G17" s="157">
        <f t="shared" si="1"/>
        <v>39.759839893262175</v>
      </c>
      <c r="H17" s="17"/>
      <c r="I17" s="17"/>
      <c r="J17" s="17"/>
      <c r="K17" s="17"/>
      <c r="L17" s="17"/>
      <c r="M17" s="17"/>
      <c r="N17" s="17"/>
      <c r="O17" s="17"/>
      <c r="P17" s="17"/>
      <c r="Q17" s="17"/>
      <c r="R17" s="17"/>
      <c r="S17" s="17"/>
      <c r="T17" s="17"/>
      <c r="U17" s="17"/>
      <c r="V17" s="17"/>
      <c r="W17" s="17"/>
      <c r="X17" s="17"/>
      <c r="Y17" s="17"/>
      <c r="Z17" s="17"/>
    </row>
    <row r="18" spans="1:26" ht="28.5" customHeight="1" x14ac:dyDescent="0.25">
      <c r="A18" s="4" t="s">
        <v>868</v>
      </c>
      <c r="B18" s="169" t="s">
        <v>869</v>
      </c>
      <c r="C18" s="4" t="s">
        <v>49</v>
      </c>
      <c r="D18" s="157">
        <v>760</v>
      </c>
      <c r="E18" s="157">
        <v>332</v>
      </c>
      <c r="F18" s="157">
        <f t="shared" si="0"/>
        <v>428</v>
      </c>
      <c r="G18" s="157">
        <f t="shared" si="1"/>
        <v>128.91566265060243</v>
      </c>
      <c r="H18" s="16"/>
      <c r="I18" s="17"/>
      <c r="J18" s="17"/>
      <c r="K18" s="17"/>
      <c r="L18" s="17"/>
      <c r="M18" s="17"/>
      <c r="N18" s="17"/>
      <c r="O18" s="17"/>
      <c r="P18" s="17"/>
      <c r="Q18" s="17"/>
      <c r="R18" s="17"/>
      <c r="S18" s="17"/>
      <c r="T18" s="17"/>
      <c r="U18" s="17"/>
      <c r="V18" s="17"/>
      <c r="W18" s="17"/>
      <c r="X18" s="17"/>
      <c r="Y18" s="17"/>
      <c r="Z18" s="17"/>
    </row>
    <row r="19" spans="1:26" ht="28.5" customHeight="1" x14ac:dyDescent="0.25">
      <c r="A19" s="4" t="s">
        <v>47</v>
      </c>
      <c r="B19" s="4" t="s">
        <v>48</v>
      </c>
      <c r="C19" s="4" t="s">
        <v>49</v>
      </c>
      <c r="D19" s="157">
        <v>4128</v>
      </c>
      <c r="E19" s="157">
        <v>3411</v>
      </c>
      <c r="F19" s="157">
        <f t="shared" si="0"/>
        <v>717</v>
      </c>
      <c r="G19" s="157">
        <f t="shared" si="1"/>
        <v>21.020228671943713</v>
      </c>
      <c r="H19" s="16"/>
      <c r="I19" s="17"/>
      <c r="J19" s="17"/>
      <c r="K19" s="17"/>
      <c r="L19" s="17"/>
      <c r="M19" s="17"/>
      <c r="N19" s="17"/>
      <c r="O19" s="17"/>
      <c r="P19" s="17"/>
      <c r="Q19" s="17"/>
      <c r="R19" s="17"/>
      <c r="S19" s="17"/>
      <c r="T19" s="17"/>
      <c r="U19" s="17"/>
      <c r="V19" s="17"/>
      <c r="W19" s="17"/>
      <c r="X19" s="17"/>
      <c r="Y19" s="17"/>
      <c r="Z19" s="17"/>
    </row>
    <row r="20" spans="1:26" ht="28.5" customHeight="1" x14ac:dyDescent="0.25">
      <c r="A20" s="4" t="s">
        <v>870</v>
      </c>
      <c r="B20" s="4" t="s">
        <v>871</v>
      </c>
      <c r="C20" s="4" t="s">
        <v>49</v>
      </c>
      <c r="D20" s="157">
        <v>408</v>
      </c>
      <c r="E20" s="157">
        <v>751</v>
      </c>
      <c r="F20" s="157">
        <f t="shared" si="0"/>
        <v>-343</v>
      </c>
      <c r="G20" s="157">
        <f t="shared" si="1"/>
        <v>-45.672436750998671</v>
      </c>
      <c r="H20" s="17"/>
      <c r="I20" s="17"/>
      <c r="J20" s="17"/>
      <c r="K20" s="17"/>
      <c r="L20" s="17"/>
      <c r="M20" s="17"/>
      <c r="N20" s="17"/>
      <c r="O20" s="17"/>
      <c r="P20" s="17"/>
      <c r="Q20" s="17"/>
      <c r="R20" s="17"/>
      <c r="S20" s="17"/>
      <c r="T20" s="17"/>
      <c r="U20" s="17"/>
      <c r="V20" s="17"/>
      <c r="W20" s="17"/>
      <c r="X20" s="17"/>
      <c r="Y20" s="17"/>
      <c r="Z20" s="17"/>
    </row>
    <row r="21" spans="1:26" ht="28.5" customHeight="1" x14ac:dyDescent="0.25">
      <c r="A21" s="4" t="s">
        <v>872</v>
      </c>
      <c r="B21" s="4" t="s">
        <v>873</v>
      </c>
      <c r="C21" s="4" t="s">
        <v>49</v>
      </c>
      <c r="D21" s="157">
        <v>2470</v>
      </c>
      <c r="E21" s="157">
        <v>2795</v>
      </c>
      <c r="F21" s="157">
        <f t="shared" si="0"/>
        <v>-325</v>
      </c>
      <c r="G21" s="157">
        <f t="shared" si="1"/>
        <v>-11.627906976744185</v>
      </c>
      <c r="H21" s="17"/>
      <c r="I21" s="17"/>
      <c r="J21" s="17"/>
      <c r="K21" s="17"/>
      <c r="L21" s="17"/>
      <c r="M21" s="17"/>
      <c r="N21" s="17"/>
      <c r="O21" s="17"/>
      <c r="P21" s="17"/>
      <c r="Q21" s="17"/>
      <c r="R21" s="17"/>
      <c r="S21" s="17"/>
      <c r="T21" s="17"/>
      <c r="U21" s="17"/>
      <c r="V21" s="17"/>
      <c r="W21" s="17"/>
      <c r="X21" s="17"/>
      <c r="Y21" s="17"/>
      <c r="Z21" s="17"/>
    </row>
    <row r="22" spans="1:26" ht="28.5" customHeight="1" x14ac:dyDescent="0.25">
      <c r="A22" s="4" t="s">
        <v>620</v>
      </c>
      <c r="B22" s="4"/>
      <c r="C22" s="4" t="s">
        <v>49</v>
      </c>
      <c r="D22" s="157">
        <v>413</v>
      </c>
      <c r="E22" s="157">
        <v>407</v>
      </c>
      <c r="F22" s="157">
        <f t="shared" si="0"/>
        <v>6</v>
      </c>
      <c r="G22" s="157">
        <f t="shared" si="1"/>
        <v>1.4742014742014742</v>
      </c>
      <c r="H22" s="17"/>
      <c r="I22" s="17"/>
      <c r="J22" s="17"/>
      <c r="K22" s="17"/>
      <c r="L22" s="17"/>
      <c r="M22" s="17"/>
      <c r="N22" s="17"/>
      <c r="O22" s="17"/>
      <c r="P22" s="17"/>
      <c r="Q22" s="17"/>
      <c r="R22" s="17"/>
      <c r="S22" s="17"/>
      <c r="T22" s="17"/>
      <c r="U22" s="17"/>
      <c r="V22" s="17"/>
      <c r="W22" s="17"/>
      <c r="X22" s="17"/>
      <c r="Y22" s="17"/>
      <c r="Z22" s="17"/>
    </row>
    <row r="23" spans="1:26" ht="28.5" customHeight="1" x14ac:dyDescent="0.25">
      <c r="A23" s="110" t="s">
        <v>198</v>
      </c>
      <c r="B23" s="110"/>
      <c r="C23" s="173" t="s">
        <v>49</v>
      </c>
      <c r="D23" s="111">
        <v>12367</v>
      </c>
      <c r="E23" s="111">
        <v>10692</v>
      </c>
      <c r="F23" s="172">
        <f t="shared" si="0"/>
        <v>1675</v>
      </c>
      <c r="G23" s="172">
        <f t="shared" si="1"/>
        <v>15.665918443696222</v>
      </c>
      <c r="H23" s="17"/>
      <c r="I23" s="17"/>
      <c r="J23" s="17"/>
      <c r="K23" s="17"/>
      <c r="L23" s="17"/>
      <c r="M23" s="17"/>
      <c r="N23" s="17"/>
      <c r="O23" s="17"/>
      <c r="P23" s="17"/>
      <c r="Q23" s="17"/>
      <c r="R23" s="17"/>
      <c r="S23" s="17"/>
      <c r="T23" s="17"/>
      <c r="U23" s="17"/>
      <c r="V23" s="17"/>
      <c r="W23" s="17"/>
      <c r="X23" s="17"/>
      <c r="Y23" s="17"/>
      <c r="Z23" s="17"/>
    </row>
    <row r="24" spans="1:26" ht="28.5" customHeight="1" x14ac:dyDescent="0.25">
      <c r="A24" s="4" t="s">
        <v>874</v>
      </c>
      <c r="B24" s="4" t="s">
        <v>875</v>
      </c>
      <c r="C24" s="4" t="s">
        <v>129</v>
      </c>
      <c r="D24" s="157">
        <v>1639</v>
      </c>
      <c r="E24" s="157">
        <v>1327</v>
      </c>
      <c r="F24" s="157">
        <f t="shared" si="0"/>
        <v>312</v>
      </c>
      <c r="G24" s="157">
        <f t="shared" si="1"/>
        <v>23.511680482290881</v>
      </c>
      <c r="H24" s="17"/>
      <c r="I24" s="17"/>
      <c r="J24" s="17"/>
      <c r="K24" s="17"/>
      <c r="L24" s="17"/>
      <c r="M24" s="17"/>
      <c r="N24" s="17"/>
      <c r="O24" s="17"/>
      <c r="P24" s="17"/>
      <c r="Q24" s="17"/>
      <c r="R24" s="17"/>
      <c r="S24" s="17"/>
      <c r="T24" s="17"/>
      <c r="U24" s="17"/>
      <c r="V24" s="17"/>
      <c r="W24" s="17"/>
      <c r="X24" s="17"/>
      <c r="Y24" s="17"/>
      <c r="Z24" s="17"/>
    </row>
    <row r="25" spans="1:26" ht="28.5" customHeight="1" x14ac:dyDescent="0.25">
      <c r="A25" s="4" t="s">
        <v>876</v>
      </c>
      <c r="B25" s="4" t="s">
        <v>877</v>
      </c>
      <c r="C25" s="4" t="s">
        <v>129</v>
      </c>
      <c r="D25" s="157">
        <v>1093</v>
      </c>
      <c r="E25" s="157">
        <v>819</v>
      </c>
      <c r="F25" s="157">
        <f t="shared" si="0"/>
        <v>274</v>
      </c>
      <c r="G25" s="157">
        <f t="shared" si="1"/>
        <v>33.45543345543345</v>
      </c>
      <c r="H25" s="17"/>
      <c r="I25" s="17"/>
      <c r="J25" s="17"/>
      <c r="K25" s="17"/>
      <c r="L25" s="17"/>
      <c r="M25" s="17"/>
      <c r="N25" s="17"/>
      <c r="O25" s="17"/>
      <c r="P25" s="17"/>
      <c r="Q25" s="17"/>
      <c r="R25" s="17"/>
      <c r="S25" s="17"/>
      <c r="T25" s="17"/>
      <c r="U25" s="17"/>
      <c r="V25" s="17"/>
      <c r="W25" s="17"/>
      <c r="X25" s="17"/>
      <c r="Y25" s="17"/>
      <c r="Z25" s="17"/>
    </row>
    <row r="26" spans="1:26" ht="28.5" customHeight="1" x14ac:dyDescent="0.25">
      <c r="A26" s="4" t="s">
        <v>639</v>
      </c>
      <c r="B26" s="4"/>
      <c r="C26" s="4" t="s">
        <v>129</v>
      </c>
      <c r="D26" s="157">
        <v>416</v>
      </c>
      <c r="E26" s="157">
        <v>476</v>
      </c>
      <c r="F26" s="157">
        <f t="shared" si="0"/>
        <v>-60</v>
      </c>
      <c r="G26" s="157">
        <f t="shared" si="1"/>
        <v>-12.605042016806722</v>
      </c>
      <c r="H26" s="17"/>
      <c r="I26" s="17"/>
      <c r="J26" s="17"/>
      <c r="K26" s="17"/>
      <c r="L26" s="17"/>
      <c r="M26" s="17"/>
      <c r="N26" s="17"/>
      <c r="O26" s="17"/>
      <c r="P26" s="17"/>
      <c r="Q26" s="17"/>
      <c r="R26" s="17"/>
      <c r="S26" s="17"/>
      <c r="T26" s="17"/>
      <c r="U26" s="17"/>
      <c r="V26" s="17"/>
      <c r="W26" s="17"/>
      <c r="X26" s="17"/>
      <c r="Y26" s="17"/>
      <c r="Z26" s="17"/>
    </row>
    <row r="27" spans="1:26" ht="28.5" customHeight="1" x14ac:dyDescent="0.25">
      <c r="A27" s="170" t="s">
        <v>878</v>
      </c>
      <c r="B27" s="110"/>
      <c r="C27" s="173" t="s">
        <v>129</v>
      </c>
      <c r="D27" s="172">
        <v>3148</v>
      </c>
      <c r="E27" s="172">
        <v>2623</v>
      </c>
      <c r="F27" s="172">
        <f t="shared" si="0"/>
        <v>525</v>
      </c>
      <c r="G27" s="172">
        <f t="shared" si="1"/>
        <v>20.015249714067863</v>
      </c>
      <c r="H27" s="16"/>
      <c r="I27" s="17"/>
      <c r="J27" s="17"/>
      <c r="K27" s="17"/>
      <c r="L27" s="17"/>
      <c r="M27" s="17"/>
      <c r="N27" s="17"/>
      <c r="O27" s="17"/>
      <c r="P27" s="17"/>
      <c r="Q27" s="17"/>
      <c r="R27" s="17"/>
      <c r="S27" s="17"/>
      <c r="T27" s="17"/>
      <c r="U27" s="17"/>
      <c r="V27" s="17"/>
      <c r="W27" s="17"/>
      <c r="X27" s="17"/>
      <c r="Y27" s="17"/>
      <c r="Z27" s="17"/>
    </row>
    <row r="28" spans="1:26" ht="28.5" customHeight="1" x14ac:dyDescent="0.25">
      <c r="A28" s="4" t="s">
        <v>879</v>
      </c>
      <c r="B28" s="4" t="s">
        <v>880</v>
      </c>
      <c r="C28" s="4" t="s">
        <v>129</v>
      </c>
      <c r="D28" s="157">
        <v>2345</v>
      </c>
      <c r="E28" s="157">
        <v>2313</v>
      </c>
      <c r="F28" s="157">
        <f t="shared" si="0"/>
        <v>32</v>
      </c>
      <c r="G28" s="157">
        <f t="shared" si="1"/>
        <v>1.3834846519671422</v>
      </c>
      <c r="H28" s="17"/>
      <c r="I28" s="17"/>
      <c r="J28" s="17"/>
      <c r="K28" s="17"/>
      <c r="L28" s="17"/>
      <c r="M28" s="17"/>
      <c r="N28" s="17"/>
      <c r="O28" s="17"/>
      <c r="P28" s="17"/>
      <c r="Q28" s="17"/>
      <c r="R28" s="17"/>
      <c r="S28" s="17"/>
      <c r="T28" s="17"/>
      <c r="U28" s="17"/>
      <c r="V28" s="17"/>
      <c r="W28" s="17"/>
      <c r="X28" s="17"/>
      <c r="Y28" s="17"/>
      <c r="Z28" s="17"/>
    </row>
    <row r="29" spans="1:26" ht="28.5" customHeight="1" x14ac:dyDescent="0.25">
      <c r="A29" s="2" t="s">
        <v>881</v>
      </c>
      <c r="B29" s="2" t="s">
        <v>882</v>
      </c>
      <c r="C29" s="2" t="s">
        <v>201</v>
      </c>
      <c r="D29" s="157">
        <v>795</v>
      </c>
      <c r="E29" s="157">
        <v>735</v>
      </c>
      <c r="F29" s="157">
        <f t="shared" si="0"/>
        <v>60</v>
      </c>
      <c r="G29" s="157">
        <f t="shared" si="1"/>
        <v>8.1632653061224492</v>
      </c>
      <c r="H29" s="16"/>
      <c r="I29" s="17"/>
      <c r="J29" s="17"/>
      <c r="K29" s="17"/>
      <c r="L29" s="17"/>
      <c r="M29" s="17"/>
      <c r="N29" s="17"/>
      <c r="O29" s="17"/>
      <c r="P29" s="17"/>
      <c r="Q29" s="17"/>
      <c r="R29" s="17"/>
      <c r="S29" s="17"/>
      <c r="T29" s="17"/>
      <c r="U29" s="17"/>
      <c r="V29" s="17"/>
      <c r="W29" s="17"/>
      <c r="X29" s="17"/>
      <c r="Y29" s="17"/>
      <c r="Z29" s="17"/>
    </row>
    <row r="30" spans="1:26" ht="28.5" customHeight="1" x14ac:dyDescent="0.25">
      <c r="A30" s="4" t="s">
        <v>883</v>
      </c>
      <c r="B30" s="4" t="s">
        <v>159</v>
      </c>
      <c r="C30" s="4" t="s">
        <v>113</v>
      </c>
      <c r="D30" s="157">
        <v>552</v>
      </c>
      <c r="E30" s="157">
        <v>790</v>
      </c>
      <c r="F30" s="157">
        <f t="shared" si="0"/>
        <v>-238</v>
      </c>
      <c r="G30" s="157">
        <f t="shared" si="1"/>
        <v>-30.126582278481013</v>
      </c>
      <c r="H30" s="17"/>
      <c r="I30" s="17"/>
      <c r="J30" s="17"/>
      <c r="K30" s="17"/>
      <c r="L30" s="17"/>
      <c r="M30" s="17"/>
      <c r="N30" s="17"/>
      <c r="O30" s="17"/>
      <c r="P30" s="17"/>
      <c r="Q30" s="17"/>
      <c r="R30" s="17"/>
      <c r="S30" s="17"/>
      <c r="T30" s="17"/>
      <c r="U30" s="17"/>
      <c r="V30" s="17"/>
      <c r="W30" s="17"/>
      <c r="X30" s="17"/>
      <c r="Y30" s="17"/>
      <c r="Z30" s="17"/>
    </row>
    <row r="31" spans="1:26" ht="28.5" customHeight="1" x14ac:dyDescent="0.25">
      <c r="A31" s="4" t="s">
        <v>639</v>
      </c>
      <c r="B31" s="4"/>
      <c r="C31" s="4"/>
      <c r="D31" s="157">
        <v>1186</v>
      </c>
      <c r="E31" s="157">
        <v>1353</v>
      </c>
      <c r="F31" s="157">
        <f t="shared" si="0"/>
        <v>-167</v>
      </c>
      <c r="G31" s="157">
        <f t="shared" si="1"/>
        <v>-12.342941611234295</v>
      </c>
      <c r="H31" s="17"/>
      <c r="I31" s="17"/>
      <c r="J31" s="17"/>
      <c r="K31" s="17"/>
      <c r="L31" s="17"/>
      <c r="M31" s="17"/>
      <c r="N31" s="17"/>
      <c r="O31" s="17"/>
      <c r="P31" s="17"/>
      <c r="Q31" s="17"/>
      <c r="R31" s="17"/>
      <c r="S31" s="17"/>
      <c r="T31" s="17"/>
      <c r="U31" s="17"/>
      <c r="V31" s="17"/>
      <c r="W31" s="17"/>
      <c r="X31" s="17"/>
      <c r="Y31" s="17"/>
      <c r="Z31" s="17"/>
    </row>
    <row r="32" spans="1:26" ht="28.5" customHeight="1" x14ac:dyDescent="0.25">
      <c r="A32" s="170" t="s">
        <v>884</v>
      </c>
      <c r="B32" s="170"/>
      <c r="C32" s="170"/>
      <c r="D32" s="172">
        <v>4878</v>
      </c>
      <c r="E32" s="172">
        <v>5192</v>
      </c>
      <c r="F32" s="172">
        <f t="shared" si="0"/>
        <v>-314</v>
      </c>
      <c r="G32" s="172">
        <f t="shared" si="1"/>
        <v>-6.0477657935285052</v>
      </c>
      <c r="H32" s="17"/>
      <c r="I32" s="17"/>
      <c r="J32" s="17"/>
      <c r="K32" s="17"/>
      <c r="L32" s="17"/>
      <c r="M32" s="17"/>
      <c r="N32" s="17"/>
      <c r="O32" s="17"/>
      <c r="P32" s="17"/>
      <c r="Q32" s="17"/>
      <c r="R32" s="17"/>
      <c r="S32" s="17"/>
      <c r="T32" s="17"/>
      <c r="U32" s="17"/>
      <c r="V32" s="17"/>
      <c r="W32" s="17"/>
      <c r="X32" s="17"/>
      <c r="Y32" s="17"/>
      <c r="Z32" s="17"/>
    </row>
    <row r="33" spans="1:26" ht="28.5" customHeight="1" x14ac:dyDescent="0.25">
      <c r="A33" s="110" t="s">
        <v>164</v>
      </c>
      <c r="B33" s="110"/>
      <c r="C33" s="110"/>
      <c r="D33" s="172">
        <v>45572</v>
      </c>
      <c r="E33" s="172">
        <v>42198</v>
      </c>
      <c r="F33" s="172">
        <f t="shared" si="0"/>
        <v>3374</v>
      </c>
      <c r="G33" s="172">
        <f t="shared" si="1"/>
        <v>7.9956396037726902</v>
      </c>
      <c r="H33" s="16"/>
      <c r="I33" s="17"/>
      <c r="J33" s="17"/>
      <c r="K33" s="17"/>
      <c r="L33" s="17"/>
      <c r="M33" s="17"/>
      <c r="N33" s="17"/>
      <c r="O33" s="17"/>
      <c r="P33" s="17"/>
      <c r="Q33" s="17"/>
      <c r="R33" s="17"/>
      <c r="S33" s="17"/>
      <c r="T33" s="17"/>
      <c r="U33" s="17"/>
      <c r="V33" s="17"/>
      <c r="W33" s="17"/>
      <c r="X33" s="17"/>
      <c r="Y33" s="17"/>
      <c r="Z33" s="17"/>
    </row>
    <row r="34" spans="1:26" ht="28.5" customHeight="1" x14ac:dyDescent="0.25">
      <c r="A34" s="2" t="s">
        <v>885</v>
      </c>
      <c r="B34" s="2"/>
      <c r="C34" s="2"/>
      <c r="D34" s="157">
        <v>4824</v>
      </c>
      <c r="E34" s="157">
        <v>4444</v>
      </c>
      <c r="F34" s="157">
        <f t="shared" si="0"/>
        <v>380</v>
      </c>
      <c r="G34" s="157">
        <f t="shared" si="1"/>
        <v>8.5508550855085499</v>
      </c>
      <c r="H34" s="16"/>
      <c r="I34" s="17"/>
      <c r="J34" s="17"/>
      <c r="K34" s="17"/>
      <c r="L34" s="17"/>
      <c r="M34" s="17"/>
      <c r="N34" s="17"/>
      <c r="O34" s="17"/>
      <c r="P34" s="17"/>
      <c r="Q34" s="17"/>
      <c r="R34" s="17"/>
      <c r="S34" s="17"/>
      <c r="T34" s="17"/>
      <c r="U34" s="17"/>
      <c r="V34" s="17"/>
      <c r="W34" s="17"/>
      <c r="X34" s="17"/>
      <c r="Y34" s="17"/>
      <c r="Z34" s="17"/>
    </row>
    <row r="35" spans="1:26" ht="28.5" customHeight="1" x14ac:dyDescent="0.25">
      <c r="A35" s="2" t="s">
        <v>886</v>
      </c>
      <c r="B35" s="2"/>
      <c r="C35" s="2"/>
      <c r="D35" s="157">
        <v>4450</v>
      </c>
      <c r="E35" s="157">
        <v>4593</v>
      </c>
      <c r="F35" s="157">
        <f t="shared" si="0"/>
        <v>-143</v>
      </c>
      <c r="G35" s="157">
        <f t="shared" si="1"/>
        <v>-3.1134334857391681</v>
      </c>
      <c r="H35" s="16"/>
      <c r="I35" s="17"/>
      <c r="J35" s="17"/>
      <c r="K35" s="17"/>
      <c r="L35" s="17"/>
      <c r="M35" s="17"/>
      <c r="N35" s="17"/>
      <c r="O35" s="17"/>
      <c r="P35" s="17"/>
      <c r="Q35" s="17"/>
      <c r="R35" s="17"/>
      <c r="S35" s="17"/>
      <c r="T35" s="17"/>
      <c r="U35" s="17"/>
      <c r="V35" s="17"/>
      <c r="W35" s="17"/>
      <c r="X35" s="17"/>
      <c r="Y35" s="17"/>
      <c r="Z35" s="17"/>
    </row>
    <row r="36" spans="1:26" ht="28.5" customHeight="1" x14ac:dyDescent="0.25">
      <c r="A36" s="2" t="s">
        <v>887</v>
      </c>
      <c r="B36" s="2"/>
      <c r="C36" s="2"/>
      <c r="D36" s="157">
        <v>1641</v>
      </c>
      <c r="E36" s="157">
        <v>1528</v>
      </c>
      <c r="F36" s="157">
        <f t="shared" si="0"/>
        <v>113</v>
      </c>
      <c r="G36" s="157">
        <f t="shared" si="1"/>
        <v>7.3952879581151834</v>
      </c>
      <c r="H36" s="16"/>
      <c r="I36" s="17"/>
      <c r="J36" s="17"/>
      <c r="K36" s="17"/>
      <c r="L36" s="17"/>
      <c r="M36" s="17"/>
      <c r="N36" s="17"/>
      <c r="O36" s="17"/>
      <c r="P36" s="17"/>
      <c r="Q36" s="17"/>
      <c r="R36" s="17"/>
      <c r="S36" s="17"/>
      <c r="T36" s="17"/>
      <c r="U36" s="17"/>
      <c r="V36" s="17"/>
      <c r="W36" s="17"/>
      <c r="X36" s="17"/>
      <c r="Y36" s="17"/>
      <c r="Z36" s="17"/>
    </row>
    <row r="37" spans="1:26" ht="28.5" customHeight="1" x14ac:dyDescent="0.25">
      <c r="A37" s="2" t="s">
        <v>888</v>
      </c>
      <c r="B37" s="2"/>
      <c r="C37" s="2"/>
      <c r="D37" s="157">
        <v>1517</v>
      </c>
      <c r="E37" s="157">
        <v>1675</v>
      </c>
      <c r="F37" s="157">
        <f t="shared" si="0"/>
        <v>-158</v>
      </c>
      <c r="G37" s="157">
        <f t="shared" si="1"/>
        <v>-9.432835820895523</v>
      </c>
      <c r="H37" s="16"/>
      <c r="I37" s="17"/>
      <c r="J37" s="17"/>
      <c r="K37" s="17"/>
      <c r="L37" s="17"/>
      <c r="M37" s="17"/>
      <c r="N37" s="17"/>
      <c r="O37" s="17"/>
      <c r="P37" s="17"/>
      <c r="Q37" s="17"/>
      <c r="R37" s="17"/>
      <c r="S37" s="17"/>
      <c r="T37" s="17"/>
      <c r="U37" s="17"/>
      <c r="V37" s="17"/>
      <c r="W37" s="17"/>
      <c r="X37" s="17"/>
      <c r="Y37" s="17"/>
      <c r="Z37" s="17"/>
    </row>
    <row r="38" spans="1:26" ht="28.5" customHeight="1" x14ac:dyDescent="0.25">
      <c r="A38" s="2" t="s">
        <v>86</v>
      </c>
      <c r="B38" s="2"/>
      <c r="C38" s="2" t="s">
        <v>84</v>
      </c>
      <c r="D38" s="157">
        <v>901</v>
      </c>
      <c r="E38" s="157">
        <v>986</v>
      </c>
      <c r="F38" s="157">
        <f t="shared" si="0"/>
        <v>-85</v>
      </c>
      <c r="G38" s="157">
        <f t="shared" si="1"/>
        <v>-8.6206896551724146</v>
      </c>
      <c r="H38" s="16"/>
      <c r="I38" s="17"/>
      <c r="J38" s="17"/>
      <c r="K38" s="17"/>
      <c r="L38" s="17"/>
      <c r="M38" s="17"/>
      <c r="N38" s="17"/>
      <c r="O38" s="17"/>
      <c r="P38" s="17"/>
      <c r="Q38" s="17"/>
      <c r="R38" s="17"/>
      <c r="S38" s="17"/>
      <c r="T38" s="17"/>
      <c r="U38" s="17"/>
      <c r="V38" s="17"/>
      <c r="W38" s="17"/>
      <c r="X38" s="17"/>
      <c r="Y38" s="17"/>
      <c r="Z38" s="17"/>
    </row>
    <row r="39" spans="1:26" ht="28.5" customHeight="1" x14ac:dyDescent="0.25">
      <c r="A39" s="2" t="s">
        <v>889</v>
      </c>
      <c r="B39" s="2"/>
      <c r="C39" s="2"/>
      <c r="D39" s="157">
        <v>720</v>
      </c>
      <c r="E39" s="157">
        <v>671</v>
      </c>
      <c r="F39" s="157">
        <f t="shared" si="0"/>
        <v>49</v>
      </c>
      <c r="G39" s="157">
        <f t="shared" si="1"/>
        <v>7.3025335320417284</v>
      </c>
      <c r="H39" s="16"/>
      <c r="I39" s="17"/>
      <c r="J39" s="17"/>
      <c r="K39" s="17"/>
      <c r="L39" s="17"/>
      <c r="M39" s="17"/>
      <c r="N39" s="17"/>
      <c r="O39" s="17"/>
      <c r="P39" s="17"/>
      <c r="Q39" s="17"/>
      <c r="R39" s="17"/>
      <c r="S39" s="17"/>
      <c r="T39" s="17"/>
      <c r="U39" s="17"/>
      <c r="V39" s="17"/>
      <c r="W39" s="17"/>
      <c r="X39" s="17"/>
      <c r="Y39" s="17"/>
      <c r="Z39" s="17"/>
    </row>
    <row r="40" spans="1:26" ht="28.5" customHeight="1" x14ac:dyDescent="0.25">
      <c r="A40" s="170" t="s">
        <v>890</v>
      </c>
      <c r="B40" s="170"/>
      <c r="C40" s="170"/>
      <c r="D40" s="172">
        <v>14053</v>
      </c>
      <c r="E40" s="172">
        <v>13898</v>
      </c>
      <c r="F40" s="172">
        <f t="shared" si="0"/>
        <v>155</v>
      </c>
      <c r="G40" s="172">
        <f t="shared" si="1"/>
        <v>1.1152683839401352</v>
      </c>
      <c r="H40" s="17"/>
      <c r="I40" s="17"/>
      <c r="J40" s="17"/>
      <c r="K40" s="17"/>
      <c r="L40" s="17"/>
      <c r="M40" s="17"/>
      <c r="N40" s="17"/>
      <c r="O40" s="17"/>
      <c r="P40" s="17"/>
      <c r="Q40" s="17"/>
      <c r="R40" s="17"/>
      <c r="S40" s="17"/>
      <c r="T40" s="17"/>
      <c r="U40" s="17"/>
      <c r="V40" s="17"/>
      <c r="W40" s="17"/>
      <c r="X40" s="17"/>
      <c r="Y40" s="17"/>
      <c r="Z40" s="17"/>
    </row>
    <row r="41" spans="1:26" ht="28.5" customHeight="1" x14ac:dyDescent="0.25">
      <c r="A41" s="170" t="s">
        <v>35</v>
      </c>
      <c r="B41" s="170"/>
      <c r="C41" s="170"/>
      <c r="D41" s="172">
        <v>22959</v>
      </c>
      <c r="E41" s="172">
        <v>25963</v>
      </c>
      <c r="F41" s="172">
        <f t="shared" si="0"/>
        <v>-3004</v>
      </c>
      <c r="G41" s="172">
        <f t="shared" si="1"/>
        <v>-11.570311597273042</v>
      </c>
      <c r="H41" s="17"/>
      <c r="I41" s="17"/>
      <c r="J41" s="17"/>
      <c r="K41" s="17"/>
      <c r="L41" s="17"/>
      <c r="M41" s="17"/>
      <c r="N41" s="17"/>
      <c r="O41" s="17"/>
      <c r="P41" s="17"/>
      <c r="Q41" s="17"/>
      <c r="R41" s="17"/>
      <c r="S41" s="17"/>
      <c r="T41" s="17"/>
      <c r="U41" s="17"/>
      <c r="V41" s="17"/>
      <c r="W41" s="17"/>
      <c r="X41" s="17"/>
      <c r="Y41" s="17"/>
      <c r="Z41" s="17"/>
    </row>
    <row r="42" spans="1:26" ht="28.5" customHeight="1" x14ac:dyDescent="0.25">
      <c r="A42" s="110" t="s">
        <v>891</v>
      </c>
      <c r="B42" s="110"/>
      <c r="C42" s="110"/>
      <c r="D42" s="111">
        <v>82584</v>
      </c>
      <c r="E42" s="111">
        <v>82059</v>
      </c>
      <c r="F42" s="172">
        <f t="shared" si="0"/>
        <v>525</v>
      </c>
      <c r="G42" s="172">
        <f t="shared" si="1"/>
        <v>0.63978357035791322</v>
      </c>
      <c r="H42" s="17"/>
      <c r="I42" s="17"/>
      <c r="J42" s="17"/>
      <c r="K42" s="17"/>
      <c r="L42" s="17"/>
      <c r="M42" s="17"/>
      <c r="N42" s="17"/>
      <c r="O42" s="17"/>
      <c r="P42" s="17"/>
      <c r="Q42" s="17"/>
      <c r="R42" s="17"/>
      <c r="S42" s="17"/>
      <c r="T42" s="17"/>
      <c r="U42" s="17"/>
      <c r="V42" s="17"/>
      <c r="W42" s="17"/>
      <c r="X42" s="17"/>
      <c r="Y42" s="17"/>
      <c r="Z42" s="17"/>
    </row>
  </sheetData>
  <pageMargins left="0.7" right="0.7" top="0.75" bottom="0.75" header="0" footer="0"/>
  <pageSetup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2A5DB0"/>
  </sheetPr>
  <dimension ref="A1:Z32"/>
  <sheetViews>
    <sheetView workbookViewId="0">
      <pane ySplit="1" topLeftCell="A2" activePane="bottomLeft" state="frozen"/>
      <selection pane="bottomLeft"/>
    </sheetView>
  </sheetViews>
  <sheetFormatPr defaultColWidth="14.44140625" defaultRowHeight="15.75" customHeight="1" x14ac:dyDescent="0.25"/>
  <cols>
    <col min="1" max="1" width="29" customWidth="1"/>
    <col min="2" max="2" width="30.88671875" customWidth="1"/>
    <col min="3" max="3" width="35.6640625" customWidth="1"/>
    <col min="4" max="5" width="18.33203125" customWidth="1"/>
    <col min="6" max="6" width="16.6640625" customWidth="1"/>
    <col min="7" max="7" width="19.5546875" customWidth="1"/>
    <col min="8" max="26" width="8.6640625" customWidth="1"/>
  </cols>
  <sheetData>
    <row r="1" spans="1:26" ht="34.5" customHeight="1" x14ac:dyDescent="0.25">
      <c r="A1" s="46" t="s">
        <v>1758</v>
      </c>
      <c r="B1" s="47" t="s">
        <v>10</v>
      </c>
      <c r="C1" s="47" t="s">
        <v>11</v>
      </c>
      <c r="D1" s="174" t="s">
        <v>1687</v>
      </c>
      <c r="E1" s="175" t="s">
        <v>1688</v>
      </c>
      <c r="F1" s="47" t="s">
        <v>1682</v>
      </c>
      <c r="G1" s="47" t="s">
        <v>1759</v>
      </c>
      <c r="H1" s="89"/>
      <c r="I1" s="89"/>
      <c r="J1" s="89"/>
      <c r="K1" s="89"/>
      <c r="L1" s="89"/>
      <c r="M1" s="89"/>
      <c r="N1" s="89"/>
      <c r="O1" s="89"/>
      <c r="P1" s="89"/>
      <c r="Q1" s="89"/>
      <c r="R1" s="89"/>
      <c r="S1" s="89"/>
      <c r="T1" s="89"/>
      <c r="U1" s="89"/>
      <c r="V1" s="89"/>
      <c r="W1" s="89"/>
      <c r="X1" s="89"/>
      <c r="Y1" s="89"/>
      <c r="Z1" s="89"/>
    </row>
    <row r="2" spans="1:26" ht="28.5" customHeight="1" x14ac:dyDescent="0.25">
      <c r="A2" s="11" t="s">
        <v>1760</v>
      </c>
      <c r="B2" s="11" t="s">
        <v>161</v>
      </c>
      <c r="C2" s="11" t="s">
        <v>258</v>
      </c>
      <c r="D2" s="51">
        <v>10.4</v>
      </c>
      <c r="E2" s="51">
        <v>39.799999999999997</v>
      </c>
      <c r="F2" s="51">
        <f t="shared" ref="F2:F32" si="0">D2-E2</f>
        <v>-29.4</v>
      </c>
      <c r="G2" s="51">
        <f t="shared" ref="G2:G3" si="1">(F2/E2)*100</f>
        <v>-73.869346733668337</v>
      </c>
      <c r="H2" s="89"/>
      <c r="I2" s="89"/>
      <c r="J2" s="89"/>
      <c r="K2" s="89"/>
      <c r="L2" s="89"/>
      <c r="M2" s="89"/>
      <c r="N2" s="89"/>
      <c r="O2" s="89"/>
      <c r="P2" s="89"/>
      <c r="Q2" s="89"/>
      <c r="R2" s="89"/>
      <c r="S2" s="89"/>
      <c r="T2" s="89"/>
      <c r="U2" s="89"/>
      <c r="V2" s="89"/>
      <c r="W2" s="89"/>
      <c r="X2" s="89"/>
      <c r="Y2" s="89"/>
      <c r="Z2" s="89"/>
    </row>
    <row r="3" spans="1:26" ht="28.5" customHeight="1" x14ac:dyDescent="0.25">
      <c r="A3" s="11" t="s">
        <v>893</v>
      </c>
      <c r="B3" s="11" t="s">
        <v>161</v>
      </c>
      <c r="C3" s="11" t="s">
        <v>258</v>
      </c>
      <c r="D3" s="51">
        <v>25.2</v>
      </c>
      <c r="E3" s="51">
        <v>14</v>
      </c>
      <c r="F3" s="51">
        <f t="shared" si="0"/>
        <v>11.2</v>
      </c>
      <c r="G3" s="51">
        <f t="shared" si="1"/>
        <v>80</v>
      </c>
      <c r="H3" s="89"/>
      <c r="I3" s="89"/>
      <c r="J3" s="89"/>
      <c r="K3" s="89"/>
      <c r="L3" s="89"/>
      <c r="M3" s="89"/>
      <c r="N3" s="89"/>
      <c r="O3" s="89"/>
      <c r="P3" s="89"/>
      <c r="Q3" s="89"/>
      <c r="R3" s="89"/>
      <c r="S3" s="89"/>
      <c r="T3" s="89"/>
      <c r="U3" s="89"/>
      <c r="V3" s="89"/>
      <c r="W3" s="89"/>
      <c r="X3" s="89"/>
      <c r="Y3" s="89"/>
      <c r="Z3" s="89"/>
    </row>
    <row r="4" spans="1:26" ht="28.5" customHeight="1" x14ac:dyDescent="0.25">
      <c r="A4" s="11" t="s">
        <v>894</v>
      </c>
      <c r="B4" s="71" t="s">
        <v>895</v>
      </c>
      <c r="C4" s="71" t="s">
        <v>113</v>
      </c>
      <c r="D4" s="51">
        <v>0.6</v>
      </c>
      <c r="E4" s="11">
        <v>0</v>
      </c>
      <c r="F4" s="51">
        <f t="shared" si="0"/>
        <v>0.6</v>
      </c>
      <c r="G4" s="51" t="s">
        <v>67</v>
      </c>
      <c r="H4" s="89"/>
      <c r="I4" s="89"/>
      <c r="J4" s="89"/>
      <c r="K4" s="89"/>
      <c r="L4" s="89"/>
      <c r="M4" s="89"/>
      <c r="N4" s="89"/>
      <c r="O4" s="89"/>
      <c r="P4" s="89"/>
      <c r="Q4" s="89"/>
      <c r="R4" s="89"/>
      <c r="S4" s="89"/>
      <c r="T4" s="89"/>
      <c r="U4" s="89"/>
      <c r="V4" s="89"/>
      <c r="W4" s="89"/>
      <c r="X4" s="89"/>
      <c r="Y4" s="89"/>
      <c r="Z4" s="89"/>
    </row>
    <row r="5" spans="1:26" ht="28.5" customHeight="1" x14ac:dyDescent="0.25">
      <c r="A5" s="11" t="s">
        <v>896</v>
      </c>
      <c r="B5" s="11" t="s">
        <v>163</v>
      </c>
      <c r="C5" s="11" t="s">
        <v>100</v>
      </c>
      <c r="D5" s="51">
        <v>12.100000000000001</v>
      </c>
      <c r="E5" s="51">
        <v>11.5</v>
      </c>
      <c r="F5" s="51">
        <f t="shared" si="0"/>
        <v>0.60000000000000142</v>
      </c>
      <c r="G5" s="51">
        <f t="shared" ref="G5:G32" si="2">(F5/E5)*100</f>
        <v>5.2173913043478386</v>
      </c>
      <c r="H5" s="89"/>
      <c r="I5" s="89"/>
      <c r="J5" s="89"/>
      <c r="K5" s="89"/>
      <c r="L5" s="89"/>
      <c r="M5" s="89"/>
      <c r="N5" s="89"/>
      <c r="O5" s="89"/>
      <c r="P5" s="89"/>
      <c r="Q5" s="89"/>
      <c r="R5" s="89"/>
      <c r="S5" s="89"/>
      <c r="T5" s="89"/>
      <c r="U5" s="89"/>
      <c r="V5" s="89"/>
      <c r="W5" s="89"/>
      <c r="X5" s="89"/>
      <c r="Y5" s="89"/>
      <c r="Z5" s="89"/>
    </row>
    <row r="6" spans="1:26" ht="28.5" customHeight="1" x14ac:dyDescent="0.25">
      <c r="A6" s="11" t="s">
        <v>897</v>
      </c>
      <c r="B6" s="11" t="s">
        <v>898</v>
      </c>
      <c r="C6" s="11" t="s">
        <v>100</v>
      </c>
      <c r="D6" s="51">
        <v>9.1</v>
      </c>
      <c r="E6" s="51">
        <v>6.9</v>
      </c>
      <c r="F6" s="51">
        <f t="shared" si="0"/>
        <v>2.1999999999999993</v>
      </c>
      <c r="G6" s="51">
        <f t="shared" si="2"/>
        <v>31.884057971014478</v>
      </c>
      <c r="H6" s="89"/>
      <c r="I6" s="89"/>
      <c r="J6" s="89"/>
      <c r="K6" s="89"/>
      <c r="L6" s="89"/>
      <c r="M6" s="89"/>
      <c r="N6" s="89"/>
      <c r="O6" s="89"/>
      <c r="P6" s="89"/>
      <c r="Q6" s="89"/>
      <c r="R6" s="89"/>
      <c r="S6" s="89"/>
      <c r="T6" s="89"/>
      <c r="U6" s="89"/>
      <c r="V6" s="89"/>
      <c r="W6" s="89"/>
      <c r="X6" s="89"/>
      <c r="Y6" s="89"/>
      <c r="Z6" s="89"/>
    </row>
    <row r="7" spans="1:26" ht="28.5" customHeight="1" x14ac:dyDescent="0.25">
      <c r="A7" s="11" t="s">
        <v>899</v>
      </c>
      <c r="B7" s="11" t="s">
        <v>900</v>
      </c>
      <c r="C7" s="11" t="s">
        <v>100</v>
      </c>
      <c r="D7" s="51">
        <v>3.4</v>
      </c>
      <c r="E7" s="51">
        <v>3.6</v>
      </c>
      <c r="F7" s="51">
        <f t="shared" si="0"/>
        <v>-0.20000000000000018</v>
      </c>
      <c r="G7" s="51">
        <f t="shared" si="2"/>
        <v>-5.5555555555555598</v>
      </c>
      <c r="H7" s="89"/>
      <c r="I7" s="89"/>
      <c r="J7" s="89"/>
      <c r="K7" s="89"/>
      <c r="L7" s="89"/>
      <c r="M7" s="89"/>
      <c r="N7" s="89"/>
      <c r="O7" s="89"/>
      <c r="P7" s="89"/>
      <c r="Q7" s="89"/>
      <c r="R7" s="89"/>
      <c r="S7" s="89"/>
      <c r="T7" s="89"/>
      <c r="U7" s="89"/>
      <c r="V7" s="89"/>
      <c r="W7" s="89"/>
      <c r="X7" s="89"/>
      <c r="Y7" s="89"/>
      <c r="Z7" s="89"/>
    </row>
    <row r="8" spans="1:26" ht="28.5" customHeight="1" x14ac:dyDescent="0.25">
      <c r="A8" s="11" t="s">
        <v>901</v>
      </c>
      <c r="B8" s="11" t="s">
        <v>902</v>
      </c>
      <c r="C8" s="11" t="s">
        <v>201</v>
      </c>
      <c r="D8" s="51">
        <v>6.9</v>
      </c>
      <c r="E8" s="51">
        <v>7.4</v>
      </c>
      <c r="F8" s="51">
        <f t="shared" si="0"/>
        <v>-0.5</v>
      </c>
      <c r="G8" s="51">
        <f t="shared" si="2"/>
        <v>-6.7567567567567561</v>
      </c>
      <c r="H8" s="89"/>
      <c r="I8" s="89"/>
      <c r="J8" s="89"/>
      <c r="K8" s="89"/>
      <c r="L8" s="89"/>
      <c r="M8" s="89"/>
      <c r="N8" s="89"/>
      <c r="O8" s="89"/>
      <c r="P8" s="89"/>
      <c r="Q8" s="89"/>
      <c r="R8" s="89"/>
      <c r="S8" s="89"/>
      <c r="T8" s="89"/>
      <c r="U8" s="89"/>
      <c r="V8" s="89"/>
      <c r="W8" s="89"/>
      <c r="X8" s="89"/>
      <c r="Y8" s="89"/>
      <c r="Z8" s="89"/>
    </row>
    <row r="9" spans="1:26" ht="28.5" customHeight="1" x14ac:dyDescent="0.25">
      <c r="A9" s="11" t="s">
        <v>903</v>
      </c>
      <c r="B9" s="11" t="s">
        <v>904</v>
      </c>
      <c r="C9" s="11" t="s">
        <v>129</v>
      </c>
      <c r="D9" s="51">
        <v>3.2</v>
      </c>
      <c r="E9" s="51">
        <v>4</v>
      </c>
      <c r="F9" s="51">
        <f t="shared" si="0"/>
        <v>-0.79999999999999982</v>
      </c>
      <c r="G9" s="51">
        <f t="shared" si="2"/>
        <v>-19.999999999999996</v>
      </c>
      <c r="H9" s="89"/>
      <c r="I9" s="89"/>
      <c r="J9" s="89"/>
      <c r="K9" s="89"/>
      <c r="L9" s="89"/>
      <c r="M9" s="89"/>
      <c r="N9" s="89"/>
      <c r="O9" s="89"/>
      <c r="P9" s="89"/>
      <c r="Q9" s="89"/>
      <c r="R9" s="89"/>
      <c r="S9" s="89"/>
      <c r="T9" s="89"/>
      <c r="U9" s="89"/>
      <c r="V9" s="89"/>
      <c r="W9" s="89"/>
      <c r="X9" s="89"/>
      <c r="Y9" s="89"/>
      <c r="Z9" s="89"/>
    </row>
    <row r="10" spans="1:26" ht="28.5" customHeight="1" x14ac:dyDescent="0.25">
      <c r="A10" s="11" t="s">
        <v>905</v>
      </c>
      <c r="B10" s="11" t="s">
        <v>155</v>
      </c>
      <c r="C10" s="11" t="s">
        <v>113</v>
      </c>
      <c r="D10" s="51">
        <v>26.7</v>
      </c>
      <c r="E10" s="51">
        <v>24.6</v>
      </c>
      <c r="F10" s="51">
        <f t="shared" si="0"/>
        <v>2.0999999999999979</v>
      </c>
      <c r="G10" s="51">
        <f t="shared" si="2"/>
        <v>8.5365853658536501</v>
      </c>
      <c r="H10" s="89"/>
      <c r="I10" s="89"/>
      <c r="J10" s="89"/>
      <c r="K10" s="89"/>
      <c r="L10" s="89"/>
      <c r="M10" s="89"/>
      <c r="N10" s="89"/>
      <c r="O10" s="89"/>
      <c r="P10" s="89"/>
      <c r="Q10" s="89"/>
      <c r="R10" s="89"/>
      <c r="S10" s="89"/>
      <c r="T10" s="89"/>
      <c r="U10" s="89"/>
      <c r="V10" s="89"/>
      <c r="W10" s="89"/>
      <c r="X10" s="89"/>
      <c r="Y10" s="89"/>
      <c r="Z10" s="89"/>
    </row>
    <row r="11" spans="1:26" ht="28.5" customHeight="1" x14ac:dyDescent="0.25">
      <c r="A11" s="11" t="s">
        <v>906</v>
      </c>
      <c r="B11" s="11" t="s">
        <v>907</v>
      </c>
      <c r="C11" s="11" t="s">
        <v>89</v>
      </c>
      <c r="D11" s="51">
        <v>4</v>
      </c>
      <c r="E11" s="51">
        <v>4.7</v>
      </c>
      <c r="F11" s="51">
        <f t="shared" si="0"/>
        <v>-0.70000000000000018</v>
      </c>
      <c r="G11" s="51">
        <f t="shared" si="2"/>
        <v>-14.893617021276597</v>
      </c>
      <c r="H11" s="89"/>
      <c r="I11" s="89"/>
      <c r="J11" s="89"/>
      <c r="K11" s="89"/>
      <c r="L11" s="89"/>
      <c r="M11" s="89"/>
      <c r="N11" s="89"/>
      <c r="O11" s="89"/>
      <c r="P11" s="89"/>
      <c r="Q11" s="89"/>
      <c r="R11" s="89"/>
      <c r="S11" s="89"/>
      <c r="T11" s="89"/>
      <c r="U11" s="89"/>
      <c r="V11" s="89"/>
      <c r="W11" s="89"/>
      <c r="X11" s="89"/>
      <c r="Y11" s="89"/>
      <c r="Z11" s="89"/>
    </row>
    <row r="12" spans="1:26" ht="28.5" customHeight="1" x14ac:dyDescent="0.25">
      <c r="A12" s="11" t="s">
        <v>908</v>
      </c>
      <c r="B12" s="11" t="s">
        <v>909</v>
      </c>
      <c r="C12" s="11" t="s">
        <v>49</v>
      </c>
      <c r="D12" s="51">
        <f>2.1+11.5</f>
        <v>13.6</v>
      </c>
      <c r="E12" s="51">
        <v>12.8</v>
      </c>
      <c r="F12" s="51">
        <f t="shared" si="0"/>
        <v>0.79999999999999893</v>
      </c>
      <c r="G12" s="51">
        <f t="shared" si="2"/>
        <v>6.249999999999992</v>
      </c>
      <c r="H12" s="89"/>
      <c r="I12" s="89"/>
      <c r="J12" s="89"/>
      <c r="K12" s="89"/>
      <c r="L12" s="89"/>
      <c r="M12" s="89"/>
      <c r="N12" s="89"/>
      <c r="O12" s="89"/>
      <c r="P12" s="89"/>
      <c r="Q12" s="89"/>
      <c r="R12" s="89"/>
      <c r="S12" s="89"/>
      <c r="T12" s="89"/>
      <c r="U12" s="89"/>
      <c r="V12" s="89"/>
      <c r="W12" s="89"/>
      <c r="X12" s="89"/>
      <c r="Y12" s="89"/>
      <c r="Z12" s="89"/>
    </row>
    <row r="13" spans="1:26" ht="28.5" customHeight="1" x14ac:dyDescent="0.25">
      <c r="A13" s="11" t="s">
        <v>910</v>
      </c>
      <c r="B13" s="11" t="s">
        <v>376</v>
      </c>
      <c r="C13" s="11" t="s">
        <v>49</v>
      </c>
      <c r="D13" s="51">
        <v>11.8</v>
      </c>
      <c r="E13" s="51">
        <v>9.6999999999999993</v>
      </c>
      <c r="F13" s="51">
        <f t="shared" si="0"/>
        <v>2.1000000000000014</v>
      </c>
      <c r="G13" s="51">
        <f t="shared" si="2"/>
        <v>21.649484536082493</v>
      </c>
      <c r="H13" s="89"/>
      <c r="I13" s="89"/>
      <c r="J13" s="89"/>
      <c r="K13" s="89"/>
      <c r="L13" s="89"/>
      <c r="M13" s="89"/>
      <c r="N13" s="89"/>
      <c r="O13" s="89"/>
      <c r="P13" s="89"/>
      <c r="Q13" s="89"/>
      <c r="R13" s="89"/>
      <c r="S13" s="89"/>
      <c r="T13" s="89"/>
      <c r="U13" s="89"/>
      <c r="V13" s="89"/>
      <c r="W13" s="89"/>
      <c r="X13" s="89"/>
      <c r="Y13" s="89"/>
      <c r="Z13" s="89"/>
    </row>
    <row r="14" spans="1:26" ht="28.5" customHeight="1" x14ac:dyDescent="0.25">
      <c r="A14" s="11" t="s">
        <v>911</v>
      </c>
      <c r="B14" s="11" t="s">
        <v>147</v>
      </c>
      <c r="C14" s="11" t="s">
        <v>113</v>
      </c>
      <c r="D14" s="51">
        <v>7.6</v>
      </c>
      <c r="E14" s="51">
        <v>4.9000000000000004</v>
      </c>
      <c r="F14" s="51">
        <f t="shared" si="0"/>
        <v>2.6999999999999993</v>
      </c>
      <c r="G14" s="51">
        <f t="shared" si="2"/>
        <v>55.102040816326515</v>
      </c>
      <c r="H14" s="89"/>
      <c r="I14" s="89"/>
      <c r="J14" s="89"/>
      <c r="K14" s="89"/>
      <c r="L14" s="89"/>
      <c r="M14" s="89"/>
      <c r="N14" s="89"/>
      <c r="O14" s="89"/>
      <c r="P14" s="89"/>
      <c r="Q14" s="89"/>
      <c r="R14" s="89"/>
      <c r="S14" s="89"/>
      <c r="T14" s="89"/>
      <c r="U14" s="89"/>
      <c r="V14" s="89"/>
      <c r="W14" s="89"/>
      <c r="X14" s="89"/>
      <c r="Y14" s="89"/>
      <c r="Z14" s="89"/>
    </row>
    <row r="15" spans="1:26" ht="28.5" customHeight="1" x14ac:dyDescent="0.25">
      <c r="A15" s="11" t="s">
        <v>912</v>
      </c>
      <c r="B15" s="11" t="s">
        <v>913</v>
      </c>
      <c r="C15" s="11" t="s">
        <v>43</v>
      </c>
      <c r="D15" s="51">
        <v>8.6</v>
      </c>
      <c r="E15" s="51">
        <v>10.8</v>
      </c>
      <c r="F15" s="51">
        <f t="shared" si="0"/>
        <v>-2.2000000000000011</v>
      </c>
      <c r="G15" s="51">
        <f t="shared" si="2"/>
        <v>-20.370370370370377</v>
      </c>
      <c r="H15" s="89"/>
      <c r="I15" s="89"/>
      <c r="J15" s="89"/>
      <c r="K15" s="89"/>
      <c r="L15" s="89"/>
      <c r="M15" s="89"/>
      <c r="N15" s="89"/>
      <c r="O15" s="89"/>
      <c r="P15" s="89"/>
      <c r="Q15" s="89"/>
      <c r="R15" s="89"/>
      <c r="S15" s="89"/>
      <c r="T15" s="89"/>
      <c r="U15" s="89"/>
      <c r="V15" s="89"/>
      <c r="W15" s="89"/>
      <c r="X15" s="89"/>
      <c r="Y15" s="89"/>
      <c r="Z15" s="89"/>
    </row>
    <row r="16" spans="1:26" ht="28.5" customHeight="1" x14ac:dyDescent="0.25">
      <c r="A16" s="11" t="s">
        <v>914</v>
      </c>
      <c r="B16" s="11" t="s">
        <v>913</v>
      </c>
      <c r="C16" s="11" t="s">
        <v>43</v>
      </c>
      <c r="D16" s="51">
        <v>10.6</v>
      </c>
      <c r="E16" s="51">
        <v>13.6</v>
      </c>
      <c r="F16" s="51">
        <f t="shared" si="0"/>
        <v>-3</v>
      </c>
      <c r="G16" s="51">
        <f t="shared" si="2"/>
        <v>-22.058823529411764</v>
      </c>
      <c r="H16" s="89"/>
      <c r="I16" s="89"/>
      <c r="J16" s="89"/>
      <c r="K16" s="89"/>
      <c r="L16" s="89"/>
      <c r="M16" s="89"/>
      <c r="N16" s="89"/>
      <c r="O16" s="89"/>
      <c r="P16" s="89"/>
      <c r="Q16" s="89"/>
      <c r="R16" s="89"/>
      <c r="S16" s="89"/>
      <c r="T16" s="89"/>
      <c r="U16" s="89"/>
      <c r="V16" s="89"/>
      <c r="W16" s="89"/>
      <c r="X16" s="89"/>
      <c r="Y16" s="89"/>
      <c r="Z16" s="89"/>
    </row>
    <row r="17" spans="1:26" ht="28.5" customHeight="1" x14ac:dyDescent="0.25">
      <c r="A17" s="11" t="s">
        <v>915</v>
      </c>
      <c r="B17" s="11" t="s">
        <v>916</v>
      </c>
      <c r="C17" s="11" t="s">
        <v>56</v>
      </c>
      <c r="D17" s="51">
        <v>6.9</v>
      </c>
      <c r="E17" s="51">
        <v>6.8</v>
      </c>
      <c r="F17" s="51">
        <f t="shared" si="0"/>
        <v>0.10000000000000053</v>
      </c>
      <c r="G17" s="51">
        <f t="shared" si="2"/>
        <v>1.4705882352941255</v>
      </c>
      <c r="H17" s="89"/>
      <c r="I17" s="89"/>
      <c r="J17" s="89"/>
      <c r="K17" s="89"/>
      <c r="L17" s="89"/>
      <c r="M17" s="89"/>
      <c r="N17" s="89"/>
      <c r="O17" s="89"/>
      <c r="P17" s="89"/>
      <c r="Q17" s="89"/>
      <c r="R17" s="89"/>
      <c r="S17" s="89"/>
      <c r="T17" s="89"/>
      <c r="U17" s="89"/>
      <c r="V17" s="89"/>
      <c r="W17" s="89"/>
      <c r="X17" s="89"/>
      <c r="Y17" s="89"/>
      <c r="Z17" s="89"/>
    </row>
    <row r="18" spans="1:26" ht="28.5" customHeight="1" x14ac:dyDescent="0.25">
      <c r="A18" s="11" t="s">
        <v>917</v>
      </c>
      <c r="B18" s="11" t="s">
        <v>918</v>
      </c>
      <c r="C18" s="11" t="s">
        <v>56</v>
      </c>
      <c r="D18" s="51">
        <v>2.8</v>
      </c>
      <c r="E18" s="51">
        <v>2.5</v>
      </c>
      <c r="F18" s="51">
        <f t="shared" si="0"/>
        <v>0.29999999999999982</v>
      </c>
      <c r="G18" s="51">
        <f t="shared" si="2"/>
        <v>11.999999999999993</v>
      </c>
      <c r="H18" s="89"/>
      <c r="I18" s="89"/>
      <c r="J18" s="89"/>
      <c r="K18" s="89"/>
      <c r="L18" s="89"/>
      <c r="M18" s="89"/>
      <c r="N18" s="89"/>
      <c r="O18" s="89"/>
      <c r="P18" s="89"/>
      <c r="Q18" s="89"/>
      <c r="R18" s="89"/>
      <c r="S18" s="89"/>
      <c r="T18" s="89"/>
      <c r="U18" s="89"/>
      <c r="V18" s="89"/>
      <c r="W18" s="89"/>
      <c r="X18" s="89"/>
      <c r="Y18" s="89"/>
      <c r="Z18" s="89"/>
    </row>
    <row r="19" spans="1:26" ht="28.5" customHeight="1" x14ac:dyDescent="0.25">
      <c r="A19" s="11" t="s">
        <v>919</v>
      </c>
      <c r="B19" s="11" t="s">
        <v>920</v>
      </c>
      <c r="C19" s="11" t="s">
        <v>62</v>
      </c>
      <c r="D19" s="51">
        <v>9.4</v>
      </c>
      <c r="E19" s="51">
        <v>9.6999999999999993</v>
      </c>
      <c r="F19" s="51">
        <f t="shared" si="0"/>
        <v>-0.29999999999999893</v>
      </c>
      <c r="G19" s="51">
        <f t="shared" si="2"/>
        <v>-3.0927835051546286</v>
      </c>
      <c r="H19" s="89"/>
      <c r="I19" s="89"/>
      <c r="J19" s="89"/>
      <c r="K19" s="89"/>
      <c r="L19" s="89"/>
      <c r="M19" s="89"/>
      <c r="N19" s="89"/>
      <c r="O19" s="89"/>
      <c r="P19" s="89"/>
      <c r="Q19" s="89"/>
      <c r="R19" s="89"/>
      <c r="S19" s="89"/>
      <c r="T19" s="89"/>
      <c r="U19" s="89"/>
      <c r="V19" s="89"/>
      <c r="W19" s="89"/>
      <c r="X19" s="89"/>
      <c r="Y19" s="89"/>
      <c r="Z19" s="89"/>
    </row>
    <row r="20" spans="1:26" ht="28.5" customHeight="1" x14ac:dyDescent="0.25">
      <c r="A20" s="11" t="s">
        <v>921</v>
      </c>
      <c r="B20" s="11" t="s">
        <v>922</v>
      </c>
      <c r="C20" s="11" t="s">
        <v>62</v>
      </c>
      <c r="D20" s="127">
        <v>0.9</v>
      </c>
      <c r="E20" s="127">
        <v>0.1</v>
      </c>
      <c r="F20" s="51">
        <f t="shared" si="0"/>
        <v>0.8</v>
      </c>
      <c r="G20" s="51">
        <f t="shared" si="2"/>
        <v>800</v>
      </c>
      <c r="H20" s="89"/>
      <c r="I20" s="89"/>
      <c r="J20" s="89"/>
      <c r="K20" s="89"/>
      <c r="L20" s="89"/>
      <c r="M20" s="89"/>
      <c r="N20" s="89"/>
      <c r="O20" s="89"/>
      <c r="P20" s="89"/>
      <c r="Q20" s="89"/>
      <c r="R20" s="89"/>
      <c r="S20" s="89"/>
      <c r="T20" s="89"/>
      <c r="U20" s="89"/>
      <c r="V20" s="89"/>
      <c r="W20" s="89"/>
      <c r="X20" s="89"/>
      <c r="Y20" s="89"/>
      <c r="Z20" s="89"/>
    </row>
    <row r="21" spans="1:26" ht="28.5" customHeight="1" x14ac:dyDescent="0.25">
      <c r="A21" s="11" t="s">
        <v>923</v>
      </c>
      <c r="B21" s="11" t="s">
        <v>924</v>
      </c>
      <c r="C21" s="11" t="s">
        <v>62</v>
      </c>
      <c r="D21" s="51">
        <v>3.9</v>
      </c>
      <c r="E21" s="51">
        <v>4.5</v>
      </c>
      <c r="F21" s="51">
        <f t="shared" si="0"/>
        <v>-0.60000000000000009</v>
      </c>
      <c r="G21" s="51">
        <f t="shared" si="2"/>
        <v>-13.333333333333336</v>
      </c>
      <c r="H21" s="89"/>
      <c r="I21" s="89"/>
      <c r="J21" s="89"/>
      <c r="K21" s="89"/>
      <c r="L21" s="89"/>
      <c r="M21" s="89"/>
      <c r="N21" s="89"/>
      <c r="O21" s="89"/>
      <c r="P21" s="89"/>
      <c r="Q21" s="89"/>
      <c r="R21" s="89"/>
      <c r="S21" s="89"/>
      <c r="T21" s="89"/>
      <c r="U21" s="89"/>
      <c r="V21" s="89"/>
      <c r="W21" s="89"/>
      <c r="X21" s="89"/>
      <c r="Y21" s="89"/>
      <c r="Z21" s="89"/>
    </row>
    <row r="22" spans="1:26" ht="28.5" customHeight="1" x14ac:dyDescent="0.25">
      <c r="A22" s="11" t="s">
        <v>925</v>
      </c>
      <c r="B22" s="11" t="s">
        <v>926</v>
      </c>
      <c r="C22" s="11" t="s">
        <v>169</v>
      </c>
      <c r="D22" s="51">
        <v>58</v>
      </c>
      <c r="E22" s="51">
        <v>32.6</v>
      </c>
      <c r="F22" s="51">
        <f t="shared" si="0"/>
        <v>25.4</v>
      </c>
      <c r="G22" s="51">
        <f t="shared" si="2"/>
        <v>77.914110429447845</v>
      </c>
      <c r="H22" s="89"/>
      <c r="I22" s="89"/>
      <c r="J22" s="89"/>
      <c r="K22" s="89"/>
      <c r="L22" s="89"/>
      <c r="M22" s="89"/>
      <c r="N22" s="89"/>
      <c r="O22" s="89"/>
      <c r="P22" s="89"/>
      <c r="Q22" s="89"/>
      <c r="R22" s="89"/>
      <c r="S22" s="89"/>
      <c r="T22" s="89"/>
      <c r="U22" s="89"/>
      <c r="V22" s="89"/>
      <c r="W22" s="89"/>
      <c r="X22" s="89"/>
      <c r="Y22" s="89"/>
      <c r="Z22" s="89"/>
    </row>
    <row r="23" spans="1:26" ht="28.5" customHeight="1" x14ac:dyDescent="0.25">
      <c r="A23" s="11" t="s">
        <v>927</v>
      </c>
      <c r="B23" s="11" t="s">
        <v>920</v>
      </c>
      <c r="C23" s="11" t="s">
        <v>62</v>
      </c>
      <c r="D23" s="127">
        <v>2.6</v>
      </c>
      <c r="E23" s="127">
        <v>0.1</v>
      </c>
      <c r="F23" s="51">
        <f t="shared" si="0"/>
        <v>2.5</v>
      </c>
      <c r="G23" s="51">
        <f t="shared" si="2"/>
        <v>2500</v>
      </c>
      <c r="H23" s="89"/>
      <c r="I23" s="89"/>
      <c r="J23" s="89"/>
      <c r="K23" s="89"/>
      <c r="L23" s="89"/>
      <c r="M23" s="89"/>
      <c r="N23" s="89"/>
      <c r="O23" s="89"/>
      <c r="P23" s="89"/>
      <c r="Q23" s="89"/>
      <c r="R23" s="89"/>
      <c r="S23" s="89"/>
      <c r="T23" s="89"/>
      <c r="U23" s="89"/>
      <c r="V23" s="89"/>
      <c r="W23" s="89"/>
      <c r="X23" s="89"/>
      <c r="Y23" s="89"/>
      <c r="Z23" s="89"/>
    </row>
    <row r="24" spans="1:26" ht="28.5" customHeight="1" x14ac:dyDescent="0.25">
      <c r="A24" s="11" t="s">
        <v>928</v>
      </c>
      <c r="B24" s="11" t="s">
        <v>929</v>
      </c>
      <c r="C24" s="11" t="s">
        <v>49</v>
      </c>
      <c r="D24" s="51">
        <v>10.199999999999999</v>
      </c>
      <c r="E24" s="51">
        <v>11.2</v>
      </c>
      <c r="F24" s="51">
        <f t="shared" si="0"/>
        <v>-1</v>
      </c>
      <c r="G24" s="51">
        <f t="shared" si="2"/>
        <v>-8.9285714285714288</v>
      </c>
      <c r="H24" s="89"/>
      <c r="I24" s="89"/>
      <c r="J24" s="89"/>
      <c r="K24" s="89"/>
      <c r="L24" s="89"/>
      <c r="M24" s="89"/>
      <c r="N24" s="89"/>
      <c r="O24" s="89"/>
      <c r="P24" s="89"/>
      <c r="Q24" s="89"/>
      <c r="R24" s="89"/>
      <c r="S24" s="89"/>
      <c r="T24" s="89"/>
      <c r="U24" s="89"/>
      <c r="V24" s="89"/>
      <c r="W24" s="89"/>
      <c r="X24" s="89"/>
      <c r="Y24" s="89"/>
      <c r="Z24" s="89"/>
    </row>
    <row r="25" spans="1:26" ht="28.5" customHeight="1" x14ac:dyDescent="0.25">
      <c r="A25" s="11" t="s">
        <v>930</v>
      </c>
      <c r="B25" s="11" t="s">
        <v>931</v>
      </c>
      <c r="C25" s="11" t="s">
        <v>49</v>
      </c>
      <c r="D25" s="51">
        <v>4.2</v>
      </c>
      <c r="E25" s="51">
        <v>4</v>
      </c>
      <c r="F25" s="51">
        <f t="shared" si="0"/>
        <v>0.20000000000000018</v>
      </c>
      <c r="G25" s="51">
        <f t="shared" si="2"/>
        <v>5.0000000000000044</v>
      </c>
      <c r="H25" s="89"/>
      <c r="I25" s="89"/>
      <c r="J25" s="89"/>
      <c r="K25" s="89"/>
      <c r="L25" s="89"/>
      <c r="M25" s="89"/>
      <c r="N25" s="89"/>
      <c r="O25" s="89"/>
      <c r="P25" s="89"/>
      <c r="Q25" s="89"/>
      <c r="R25" s="89"/>
      <c r="S25" s="89"/>
      <c r="T25" s="89"/>
      <c r="U25" s="89"/>
      <c r="V25" s="89"/>
      <c r="W25" s="89"/>
      <c r="X25" s="89"/>
      <c r="Y25" s="89"/>
      <c r="Z25" s="89"/>
    </row>
    <row r="26" spans="1:26" ht="28.5" customHeight="1" x14ac:dyDescent="0.25">
      <c r="A26" s="11" t="s">
        <v>932</v>
      </c>
      <c r="B26" s="11" t="s">
        <v>933</v>
      </c>
      <c r="C26" s="11" t="s">
        <v>97</v>
      </c>
      <c r="D26" s="51">
        <v>2.2999999999999998</v>
      </c>
      <c r="E26" s="51">
        <v>2</v>
      </c>
      <c r="F26" s="51">
        <f t="shared" si="0"/>
        <v>0.29999999999999982</v>
      </c>
      <c r="G26" s="51">
        <f t="shared" si="2"/>
        <v>14.999999999999991</v>
      </c>
      <c r="H26" s="89"/>
      <c r="I26" s="89"/>
      <c r="J26" s="89"/>
      <c r="K26" s="89"/>
      <c r="L26" s="89"/>
      <c r="M26" s="89"/>
      <c r="N26" s="89"/>
      <c r="O26" s="89"/>
      <c r="P26" s="89"/>
      <c r="Q26" s="89"/>
      <c r="R26" s="89"/>
      <c r="S26" s="89"/>
      <c r="T26" s="89"/>
      <c r="U26" s="89"/>
      <c r="V26" s="89"/>
      <c r="W26" s="89"/>
      <c r="X26" s="89"/>
      <c r="Y26" s="89"/>
      <c r="Z26" s="89"/>
    </row>
    <row r="27" spans="1:26" ht="28.5" customHeight="1" x14ac:dyDescent="0.25">
      <c r="A27" s="11" t="s">
        <v>934</v>
      </c>
      <c r="B27" s="11" t="s">
        <v>935</v>
      </c>
      <c r="C27" s="11" t="s">
        <v>126</v>
      </c>
      <c r="D27" s="51">
        <v>3.2</v>
      </c>
      <c r="E27" s="51">
        <v>3</v>
      </c>
      <c r="F27" s="51">
        <f t="shared" si="0"/>
        <v>0.20000000000000018</v>
      </c>
      <c r="G27" s="51">
        <f t="shared" si="2"/>
        <v>6.6666666666666723</v>
      </c>
      <c r="H27" s="89"/>
      <c r="I27" s="89"/>
      <c r="J27" s="89"/>
      <c r="K27" s="89"/>
      <c r="L27" s="89"/>
      <c r="M27" s="89"/>
      <c r="N27" s="89"/>
      <c r="O27" s="89"/>
      <c r="P27" s="89"/>
      <c r="Q27" s="89"/>
      <c r="R27" s="89"/>
      <c r="S27" s="89"/>
      <c r="T27" s="89"/>
      <c r="U27" s="89"/>
      <c r="V27" s="89"/>
      <c r="W27" s="89"/>
      <c r="X27" s="89"/>
      <c r="Y27" s="89"/>
      <c r="Z27" s="89"/>
    </row>
    <row r="28" spans="1:26" ht="28.5" customHeight="1" x14ac:dyDescent="0.25">
      <c r="A28" s="11" t="s">
        <v>936</v>
      </c>
      <c r="B28" s="11" t="s">
        <v>155</v>
      </c>
      <c r="C28" s="11" t="s">
        <v>113</v>
      </c>
      <c r="D28" s="51">
        <v>4.0999999999999996</v>
      </c>
      <c r="E28" s="51">
        <v>3.8</v>
      </c>
      <c r="F28" s="51">
        <f t="shared" si="0"/>
        <v>0.29999999999999982</v>
      </c>
      <c r="G28" s="51">
        <f t="shared" si="2"/>
        <v>7.8947368421052584</v>
      </c>
      <c r="H28" s="89"/>
      <c r="I28" s="89"/>
      <c r="J28" s="89"/>
      <c r="K28" s="89"/>
      <c r="L28" s="89"/>
      <c r="M28" s="89"/>
      <c r="N28" s="89"/>
      <c r="O28" s="89"/>
      <c r="P28" s="89"/>
      <c r="Q28" s="89"/>
      <c r="R28" s="89"/>
      <c r="S28" s="89"/>
      <c r="T28" s="89"/>
      <c r="U28" s="89"/>
      <c r="V28" s="89"/>
      <c r="W28" s="89"/>
      <c r="X28" s="89"/>
      <c r="Y28" s="89"/>
      <c r="Z28" s="89"/>
    </row>
    <row r="29" spans="1:26" ht="28.5" customHeight="1" x14ac:dyDescent="0.25">
      <c r="A29" s="11" t="s">
        <v>937</v>
      </c>
      <c r="B29" s="11" t="s">
        <v>157</v>
      </c>
      <c r="C29" s="11" t="s">
        <v>113</v>
      </c>
      <c r="D29" s="51">
        <v>6.1</v>
      </c>
      <c r="E29" s="51">
        <v>6.4</v>
      </c>
      <c r="F29" s="51">
        <f t="shared" si="0"/>
        <v>-0.30000000000000071</v>
      </c>
      <c r="G29" s="51">
        <f t="shared" si="2"/>
        <v>-4.6875000000000107</v>
      </c>
      <c r="H29" s="89"/>
      <c r="I29" s="89"/>
      <c r="J29" s="89"/>
      <c r="K29" s="89"/>
      <c r="L29" s="89"/>
      <c r="M29" s="89"/>
      <c r="N29" s="89"/>
      <c r="O29" s="89"/>
      <c r="P29" s="89"/>
      <c r="Q29" s="89"/>
      <c r="R29" s="89"/>
      <c r="S29" s="89"/>
      <c r="T29" s="89"/>
      <c r="U29" s="89"/>
      <c r="V29" s="89"/>
      <c r="W29" s="89"/>
      <c r="X29" s="89"/>
      <c r="Y29" s="89"/>
      <c r="Z29" s="89"/>
    </row>
    <row r="30" spans="1:26" ht="28.5" customHeight="1" x14ac:dyDescent="0.25">
      <c r="A30" s="11" t="s">
        <v>938</v>
      </c>
      <c r="B30" s="11"/>
      <c r="C30" s="49"/>
      <c r="D30" s="50">
        <f>17.5+2</f>
        <v>19.5</v>
      </c>
      <c r="E30" s="50">
        <v>17.899999999999999</v>
      </c>
      <c r="F30" s="51">
        <f t="shared" si="0"/>
        <v>1.6000000000000014</v>
      </c>
      <c r="G30" s="51">
        <f t="shared" si="2"/>
        <v>8.9385474860335279</v>
      </c>
      <c r="H30" s="89"/>
      <c r="I30" s="89"/>
      <c r="J30" s="89"/>
      <c r="K30" s="89"/>
      <c r="L30" s="89"/>
      <c r="M30" s="89"/>
      <c r="N30" s="89"/>
      <c r="O30" s="89"/>
      <c r="P30" s="89"/>
      <c r="Q30" s="89"/>
      <c r="R30" s="89"/>
      <c r="S30" s="89"/>
      <c r="T30" s="89"/>
      <c r="U30" s="89"/>
      <c r="V30" s="89"/>
      <c r="W30" s="89"/>
      <c r="X30" s="89"/>
      <c r="Y30" s="89"/>
      <c r="Z30" s="89"/>
    </row>
    <row r="31" spans="1:26" ht="28.5" customHeight="1" x14ac:dyDescent="0.25">
      <c r="A31" s="11" t="s">
        <v>939</v>
      </c>
      <c r="B31" s="11" t="s">
        <v>225</v>
      </c>
      <c r="C31" s="49" t="s">
        <v>221</v>
      </c>
      <c r="D31" s="50">
        <v>2.1</v>
      </c>
      <c r="E31" s="50">
        <v>8.9</v>
      </c>
      <c r="F31" s="51">
        <f t="shared" si="0"/>
        <v>-6.8000000000000007</v>
      </c>
      <c r="G31" s="51">
        <f t="shared" si="2"/>
        <v>-76.404494382022477</v>
      </c>
      <c r="H31" s="89"/>
      <c r="I31" s="89"/>
      <c r="J31" s="89"/>
      <c r="K31" s="89"/>
      <c r="L31" s="89"/>
      <c r="M31" s="89"/>
      <c r="N31" s="89"/>
      <c r="O31" s="89"/>
      <c r="P31" s="89"/>
      <c r="Q31" s="89"/>
      <c r="R31" s="89"/>
      <c r="S31" s="89"/>
      <c r="T31" s="89"/>
      <c r="U31" s="89"/>
      <c r="V31" s="89"/>
      <c r="W31" s="89"/>
      <c r="X31" s="89"/>
      <c r="Y31" s="89"/>
      <c r="Z31" s="89"/>
    </row>
    <row r="32" spans="1:26" ht="28.5" customHeight="1" x14ac:dyDescent="0.25">
      <c r="A32" s="26" t="s">
        <v>164</v>
      </c>
      <c r="B32" s="26"/>
      <c r="C32" s="118"/>
      <c r="D32" s="92">
        <v>318.39999999999998</v>
      </c>
      <c r="E32" s="92">
        <v>305.8</v>
      </c>
      <c r="F32" s="19">
        <f t="shared" si="0"/>
        <v>12.599999999999966</v>
      </c>
      <c r="G32" s="19">
        <f t="shared" si="2"/>
        <v>4.1203400915631017</v>
      </c>
      <c r="H32" s="89"/>
      <c r="I32" s="89"/>
      <c r="J32" s="89"/>
      <c r="K32" s="89"/>
      <c r="L32" s="89"/>
      <c r="M32" s="89"/>
      <c r="N32" s="89"/>
      <c r="O32" s="89"/>
      <c r="P32" s="89"/>
      <c r="Q32" s="89"/>
      <c r="R32" s="89"/>
      <c r="S32" s="89"/>
      <c r="T32" s="89"/>
      <c r="U32" s="89"/>
      <c r="V32" s="89"/>
      <c r="W32" s="89"/>
      <c r="X32" s="89"/>
      <c r="Y32" s="89"/>
      <c r="Z32" s="89"/>
    </row>
  </sheetData>
  <pageMargins left="0.7" right="0.7" top="0.75" bottom="0.75" header="0" footer="0"/>
  <pageSetup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2A5DB0"/>
  </sheetPr>
  <dimension ref="A1:Z14"/>
  <sheetViews>
    <sheetView workbookViewId="0">
      <pane ySplit="1" topLeftCell="A2" activePane="bottomLeft" state="frozen"/>
      <selection pane="bottomLeft"/>
    </sheetView>
  </sheetViews>
  <sheetFormatPr defaultColWidth="14.44140625" defaultRowHeight="15.75" customHeight="1" x14ac:dyDescent="0.25"/>
  <cols>
    <col min="1" max="1" width="25" customWidth="1"/>
    <col min="2" max="2" width="18.44140625" customWidth="1"/>
    <col min="3" max="3" width="22.6640625" customWidth="1"/>
    <col min="4" max="4" width="14.6640625" customWidth="1"/>
    <col min="5" max="5" width="11.33203125" customWidth="1"/>
    <col min="6" max="8" width="14.6640625" customWidth="1"/>
    <col min="9" max="9" width="11.88671875" customWidth="1"/>
    <col min="10" max="10" width="17.44140625" customWidth="1"/>
    <col min="11" max="11" width="14.6640625" customWidth="1"/>
    <col min="12" max="12" width="13.5546875" customWidth="1"/>
    <col min="13" max="13" width="9.88671875" customWidth="1"/>
    <col min="14" max="14" width="9.33203125" customWidth="1"/>
    <col min="15" max="15" width="13.109375" customWidth="1"/>
    <col min="16" max="26" width="20.6640625" customWidth="1"/>
  </cols>
  <sheetData>
    <row r="1" spans="1:26" ht="34.5" customHeight="1" x14ac:dyDescent="0.25">
      <c r="A1" s="28" t="s">
        <v>1761</v>
      </c>
      <c r="B1" s="8" t="s">
        <v>10</v>
      </c>
      <c r="C1" s="8" t="s">
        <v>11</v>
      </c>
      <c r="D1" s="8" t="s">
        <v>1762</v>
      </c>
      <c r="E1" s="8" t="s">
        <v>1696</v>
      </c>
      <c r="F1" s="8" t="s">
        <v>1763</v>
      </c>
      <c r="G1" s="8" t="s">
        <v>1687</v>
      </c>
      <c r="H1" s="8" t="s">
        <v>1762</v>
      </c>
      <c r="I1" s="8" t="s">
        <v>1696</v>
      </c>
      <c r="J1" s="8" t="s">
        <v>1763</v>
      </c>
      <c r="K1" s="8" t="s">
        <v>1688</v>
      </c>
      <c r="L1" s="8" t="s">
        <v>1682</v>
      </c>
      <c r="M1" s="8" t="s">
        <v>1683</v>
      </c>
      <c r="N1" s="10"/>
      <c r="O1" s="10"/>
      <c r="P1" s="10"/>
      <c r="Q1" s="10"/>
      <c r="R1" s="10"/>
      <c r="S1" s="10"/>
      <c r="T1" s="10"/>
      <c r="U1" s="10"/>
      <c r="V1" s="10"/>
      <c r="W1" s="10"/>
      <c r="X1" s="10"/>
      <c r="Y1" s="10"/>
      <c r="Z1" s="10"/>
    </row>
    <row r="2" spans="1:26" ht="28.5" customHeight="1" x14ac:dyDescent="0.25">
      <c r="A2" s="24" t="s">
        <v>1764</v>
      </c>
      <c r="B2" s="24" t="s">
        <v>1235</v>
      </c>
      <c r="C2" s="24" t="s">
        <v>62</v>
      </c>
      <c r="D2" s="25">
        <v>980</v>
      </c>
      <c r="E2" s="25">
        <v>1081</v>
      </c>
      <c r="F2" s="25">
        <v>210</v>
      </c>
      <c r="G2" s="25">
        <v>2271</v>
      </c>
      <c r="H2" s="25">
        <v>845</v>
      </c>
      <c r="I2" s="25">
        <v>951</v>
      </c>
      <c r="J2" s="25">
        <v>165</v>
      </c>
      <c r="K2" s="25">
        <v>1961</v>
      </c>
      <c r="L2" s="25">
        <f t="shared" ref="L2:L14" si="0">G2-K2</f>
        <v>310</v>
      </c>
      <c r="M2" s="25">
        <f t="shared" ref="M2:M5" si="1">(L2/K2)*100</f>
        <v>15.808261091279959</v>
      </c>
      <c r="N2" s="17"/>
      <c r="O2" s="17"/>
      <c r="P2" s="17"/>
      <c r="Q2" s="17"/>
      <c r="R2" s="17"/>
      <c r="S2" s="17"/>
      <c r="T2" s="17"/>
      <c r="U2" s="17"/>
      <c r="V2" s="17"/>
      <c r="W2" s="17"/>
      <c r="X2" s="17"/>
      <c r="Y2" s="17"/>
      <c r="Z2" s="17"/>
    </row>
    <row r="3" spans="1:26" ht="28.5" customHeight="1" x14ac:dyDescent="0.25">
      <c r="A3" s="24" t="s">
        <v>941</v>
      </c>
      <c r="B3" s="24" t="s">
        <v>942</v>
      </c>
      <c r="C3" s="24" t="s">
        <v>62</v>
      </c>
      <c r="D3" s="25">
        <v>1682</v>
      </c>
      <c r="E3" s="25">
        <v>837</v>
      </c>
      <c r="F3" s="25">
        <v>583</v>
      </c>
      <c r="G3" s="25">
        <v>3102</v>
      </c>
      <c r="H3" s="25">
        <v>1579</v>
      </c>
      <c r="I3" s="25">
        <v>730</v>
      </c>
      <c r="J3" s="25">
        <v>517</v>
      </c>
      <c r="K3" s="25">
        <v>2826</v>
      </c>
      <c r="L3" s="25">
        <f t="shared" si="0"/>
        <v>276</v>
      </c>
      <c r="M3" s="25">
        <f t="shared" si="1"/>
        <v>9.766454352441615</v>
      </c>
      <c r="N3" s="17"/>
      <c r="O3" s="17"/>
      <c r="P3" s="17"/>
      <c r="Q3" s="17"/>
      <c r="R3" s="17"/>
      <c r="S3" s="17"/>
      <c r="T3" s="17"/>
      <c r="U3" s="17"/>
      <c r="V3" s="17"/>
      <c r="W3" s="17"/>
      <c r="X3" s="17"/>
      <c r="Y3" s="17"/>
      <c r="Z3" s="17"/>
    </row>
    <row r="4" spans="1:26" ht="28.5" customHeight="1" x14ac:dyDescent="0.25">
      <c r="A4" s="24" t="s">
        <v>943</v>
      </c>
      <c r="B4" s="24" t="s">
        <v>944</v>
      </c>
      <c r="C4" s="24" t="s">
        <v>62</v>
      </c>
      <c r="D4" s="25">
        <v>2553</v>
      </c>
      <c r="E4" s="25">
        <v>0</v>
      </c>
      <c r="F4" s="25">
        <v>0</v>
      </c>
      <c r="G4" s="25">
        <v>2553</v>
      </c>
      <c r="H4" s="25">
        <v>2328</v>
      </c>
      <c r="I4" s="25">
        <v>0</v>
      </c>
      <c r="J4" s="25">
        <v>0</v>
      </c>
      <c r="K4" s="25">
        <v>2328</v>
      </c>
      <c r="L4" s="25">
        <f t="shared" si="0"/>
        <v>225</v>
      </c>
      <c r="M4" s="25">
        <f t="shared" si="1"/>
        <v>9.6649484536082486</v>
      </c>
      <c r="N4" s="17"/>
      <c r="O4" s="17"/>
      <c r="P4" s="17"/>
      <c r="Q4" s="17"/>
      <c r="R4" s="17"/>
      <c r="S4" s="17"/>
      <c r="T4" s="17"/>
      <c r="U4" s="17"/>
      <c r="V4" s="17"/>
      <c r="W4" s="17"/>
      <c r="X4" s="17"/>
      <c r="Y4" s="17"/>
      <c r="Z4" s="17"/>
    </row>
    <row r="5" spans="1:26" ht="28.5" customHeight="1" x14ac:dyDescent="0.25">
      <c r="A5" s="24" t="s">
        <v>945</v>
      </c>
      <c r="B5" s="24" t="s">
        <v>946</v>
      </c>
      <c r="C5" s="24" t="s">
        <v>62</v>
      </c>
      <c r="D5" s="25">
        <v>2537</v>
      </c>
      <c r="E5" s="25">
        <v>18</v>
      </c>
      <c r="F5" s="25">
        <v>65</v>
      </c>
      <c r="G5" s="25">
        <v>2620</v>
      </c>
      <c r="H5" s="25">
        <v>2219</v>
      </c>
      <c r="I5" s="25">
        <v>11</v>
      </c>
      <c r="J5" s="25">
        <v>40</v>
      </c>
      <c r="K5" s="25">
        <v>2270</v>
      </c>
      <c r="L5" s="25">
        <f t="shared" si="0"/>
        <v>350</v>
      </c>
      <c r="M5" s="25">
        <f t="shared" si="1"/>
        <v>15.418502202643172</v>
      </c>
      <c r="N5" s="17"/>
      <c r="O5" s="17"/>
      <c r="P5" s="17"/>
      <c r="Q5" s="17"/>
      <c r="R5" s="17"/>
      <c r="S5" s="17"/>
      <c r="T5" s="17"/>
      <c r="U5" s="17"/>
      <c r="V5" s="17"/>
      <c r="W5" s="17"/>
      <c r="X5" s="17"/>
      <c r="Y5" s="17"/>
      <c r="Z5" s="17"/>
    </row>
    <row r="6" spans="1:26" ht="28.5" customHeight="1" x14ac:dyDescent="0.25">
      <c r="A6" s="24" t="s">
        <v>947</v>
      </c>
      <c r="B6" s="153" t="s">
        <v>948</v>
      </c>
      <c r="C6" s="24" t="s">
        <v>62</v>
      </c>
      <c r="D6" s="25">
        <v>93</v>
      </c>
      <c r="E6" s="25">
        <v>0</v>
      </c>
      <c r="F6" s="25">
        <v>0</v>
      </c>
      <c r="G6" s="25">
        <v>93</v>
      </c>
      <c r="H6" s="25">
        <v>0</v>
      </c>
      <c r="I6" s="25">
        <v>0</v>
      </c>
      <c r="J6" s="25">
        <v>0</v>
      </c>
      <c r="K6" s="25">
        <v>0</v>
      </c>
      <c r="L6" s="25">
        <f t="shared" si="0"/>
        <v>93</v>
      </c>
      <c r="M6" s="25" t="s">
        <v>67</v>
      </c>
      <c r="N6" s="17"/>
      <c r="O6" s="17"/>
      <c r="P6" s="17"/>
      <c r="Q6" s="17"/>
      <c r="R6" s="17"/>
      <c r="S6" s="17"/>
      <c r="T6" s="17"/>
      <c r="U6" s="17"/>
      <c r="V6" s="17"/>
      <c r="W6" s="17"/>
      <c r="X6" s="17"/>
      <c r="Y6" s="17"/>
      <c r="Z6" s="17"/>
    </row>
    <row r="7" spans="1:26" ht="28.5" customHeight="1" x14ac:dyDescent="0.25">
      <c r="A7" s="30" t="s">
        <v>949</v>
      </c>
      <c r="B7" s="30"/>
      <c r="C7" s="30"/>
      <c r="D7" s="22">
        <v>7845</v>
      </c>
      <c r="E7" s="22">
        <v>1936</v>
      </c>
      <c r="F7" s="22">
        <v>858</v>
      </c>
      <c r="G7" s="22">
        <v>10639</v>
      </c>
      <c r="H7" s="22">
        <v>6971</v>
      </c>
      <c r="I7" s="22">
        <v>1692</v>
      </c>
      <c r="J7" s="22">
        <v>722</v>
      </c>
      <c r="K7" s="22">
        <v>9385</v>
      </c>
      <c r="L7" s="22">
        <f t="shared" si="0"/>
        <v>1254</v>
      </c>
      <c r="M7" s="22">
        <f t="shared" ref="M7:M14" si="2">(L7/K7)*100</f>
        <v>13.361747469366009</v>
      </c>
      <c r="N7" s="17"/>
      <c r="O7" s="17"/>
      <c r="P7" s="17"/>
      <c r="Q7" s="17"/>
      <c r="R7" s="17"/>
      <c r="S7" s="17"/>
      <c r="T7" s="17"/>
      <c r="U7" s="17"/>
      <c r="V7" s="17"/>
      <c r="W7" s="17"/>
      <c r="X7" s="17"/>
      <c r="Y7" s="17"/>
      <c r="Z7" s="17"/>
    </row>
    <row r="8" spans="1:26" ht="28.5" customHeight="1" x14ac:dyDescent="0.25">
      <c r="A8" s="24" t="s">
        <v>950</v>
      </c>
      <c r="B8" s="24" t="s">
        <v>951</v>
      </c>
      <c r="C8" s="24" t="s">
        <v>62</v>
      </c>
      <c r="D8" s="25">
        <v>642</v>
      </c>
      <c r="E8" s="25">
        <v>0</v>
      </c>
      <c r="F8" s="25">
        <v>0</v>
      </c>
      <c r="G8" s="25">
        <v>642</v>
      </c>
      <c r="H8" s="25">
        <v>1052</v>
      </c>
      <c r="I8" s="25">
        <v>0</v>
      </c>
      <c r="J8" s="25">
        <v>0</v>
      </c>
      <c r="K8" s="25">
        <v>1052</v>
      </c>
      <c r="L8" s="25">
        <f t="shared" si="0"/>
        <v>-410</v>
      </c>
      <c r="M8" s="25">
        <f t="shared" si="2"/>
        <v>-38.973384030418252</v>
      </c>
      <c r="N8" s="17"/>
      <c r="O8" s="17"/>
      <c r="P8" s="17"/>
      <c r="Q8" s="17"/>
      <c r="R8" s="17"/>
      <c r="S8" s="17"/>
      <c r="T8" s="17"/>
      <c r="U8" s="17"/>
      <c r="V8" s="17"/>
      <c r="W8" s="17"/>
      <c r="X8" s="17"/>
      <c r="Y8" s="17"/>
      <c r="Z8" s="17"/>
    </row>
    <row r="9" spans="1:26" ht="28.5" customHeight="1" x14ac:dyDescent="0.25">
      <c r="A9" s="24" t="s">
        <v>952</v>
      </c>
      <c r="B9" s="24" t="s">
        <v>953</v>
      </c>
      <c r="C9" s="24" t="s">
        <v>62</v>
      </c>
      <c r="D9" s="25">
        <v>777</v>
      </c>
      <c r="E9" s="25">
        <v>0</v>
      </c>
      <c r="F9" s="25">
        <v>0</v>
      </c>
      <c r="G9" s="25">
        <v>777</v>
      </c>
      <c r="H9" s="25">
        <v>847</v>
      </c>
      <c r="I9" s="25">
        <v>0</v>
      </c>
      <c r="J9" s="25">
        <v>0</v>
      </c>
      <c r="K9" s="25">
        <v>847</v>
      </c>
      <c r="L9" s="25">
        <f t="shared" si="0"/>
        <v>-70</v>
      </c>
      <c r="M9" s="25">
        <f t="shared" si="2"/>
        <v>-8.2644628099173563</v>
      </c>
      <c r="N9" s="17"/>
      <c r="O9" s="17"/>
      <c r="P9" s="17"/>
      <c r="Q9" s="17"/>
      <c r="R9" s="17"/>
      <c r="S9" s="17"/>
      <c r="T9" s="17"/>
      <c r="U9" s="17"/>
      <c r="V9" s="17"/>
      <c r="W9" s="17"/>
      <c r="X9" s="17"/>
      <c r="Y9" s="17"/>
      <c r="Z9" s="17"/>
    </row>
    <row r="10" spans="1:26" ht="28.5" customHeight="1" x14ac:dyDescent="0.25">
      <c r="A10" s="24" t="s">
        <v>954</v>
      </c>
      <c r="B10" s="24" t="s">
        <v>955</v>
      </c>
      <c r="C10" s="24" t="s">
        <v>62</v>
      </c>
      <c r="D10" s="25">
        <v>0</v>
      </c>
      <c r="E10" s="25">
        <v>523</v>
      </c>
      <c r="F10" s="25">
        <v>1730</v>
      </c>
      <c r="G10" s="25">
        <v>2380</v>
      </c>
      <c r="H10" s="25">
        <v>0</v>
      </c>
      <c r="I10" s="25">
        <v>538</v>
      </c>
      <c r="J10" s="25">
        <v>1638</v>
      </c>
      <c r="K10" s="25">
        <v>2314</v>
      </c>
      <c r="L10" s="25">
        <f t="shared" si="0"/>
        <v>66</v>
      </c>
      <c r="M10" s="25">
        <f t="shared" si="2"/>
        <v>2.8522039757994815</v>
      </c>
      <c r="N10" s="17"/>
      <c r="O10" s="17"/>
      <c r="P10" s="17"/>
      <c r="Q10" s="17"/>
      <c r="R10" s="17"/>
      <c r="S10" s="17"/>
      <c r="T10" s="17"/>
      <c r="U10" s="17"/>
      <c r="V10" s="17"/>
      <c r="W10" s="17"/>
      <c r="X10" s="17"/>
      <c r="Y10" s="17"/>
      <c r="Z10" s="17"/>
    </row>
    <row r="11" spans="1:26" ht="28.5" customHeight="1" x14ac:dyDescent="0.25">
      <c r="A11" s="24" t="s">
        <v>956</v>
      </c>
      <c r="B11" s="24"/>
      <c r="C11" s="24"/>
      <c r="D11" s="25">
        <v>526</v>
      </c>
      <c r="E11" s="25">
        <v>870</v>
      </c>
      <c r="F11" s="25">
        <v>1469</v>
      </c>
      <c r="G11" s="25">
        <v>2738</v>
      </c>
      <c r="H11" s="25">
        <v>713</v>
      </c>
      <c r="I11" s="25">
        <v>993</v>
      </c>
      <c r="J11" s="25">
        <v>1532</v>
      </c>
      <c r="K11" s="25">
        <v>3100</v>
      </c>
      <c r="L11" s="25">
        <f t="shared" si="0"/>
        <v>-362</v>
      </c>
      <c r="M11" s="25">
        <f t="shared" si="2"/>
        <v>-11.67741935483871</v>
      </c>
      <c r="N11" s="17"/>
      <c r="O11" s="17"/>
      <c r="P11" s="17"/>
      <c r="Q11" s="17"/>
      <c r="R11" s="17"/>
      <c r="S11" s="17"/>
      <c r="T11" s="17"/>
      <c r="U11" s="17"/>
      <c r="V11" s="17"/>
      <c r="W11" s="17"/>
      <c r="X11" s="17"/>
      <c r="Y11" s="17"/>
      <c r="Z11" s="17"/>
    </row>
    <row r="12" spans="1:26" ht="28.5" customHeight="1" x14ac:dyDescent="0.25">
      <c r="A12" s="24" t="s">
        <v>165</v>
      </c>
      <c r="B12" s="24"/>
      <c r="C12" s="24"/>
      <c r="D12" s="25">
        <v>0</v>
      </c>
      <c r="E12" s="25">
        <v>0</v>
      </c>
      <c r="F12" s="25">
        <v>0</v>
      </c>
      <c r="G12" s="25">
        <v>491</v>
      </c>
      <c r="H12" s="25">
        <v>0</v>
      </c>
      <c r="I12" s="25">
        <v>0</v>
      </c>
      <c r="J12" s="25">
        <v>0</v>
      </c>
      <c r="K12" s="25">
        <v>660</v>
      </c>
      <c r="L12" s="25">
        <f t="shared" si="0"/>
        <v>-169</v>
      </c>
      <c r="M12" s="25">
        <f t="shared" si="2"/>
        <v>-25.606060606060606</v>
      </c>
      <c r="N12" s="17"/>
      <c r="O12" s="17"/>
      <c r="P12" s="17"/>
      <c r="Q12" s="17"/>
      <c r="R12" s="17"/>
      <c r="S12" s="17"/>
      <c r="T12" s="17"/>
      <c r="U12" s="17"/>
      <c r="V12" s="17"/>
      <c r="W12" s="17"/>
      <c r="X12" s="17"/>
      <c r="Y12" s="17"/>
      <c r="Z12" s="17"/>
    </row>
    <row r="13" spans="1:26" ht="28.5" customHeight="1" x14ac:dyDescent="0.25">
      <c r="A13" s="24" t="s">
        <v>957</v>
      </c>
      <c r="B13" s="24"/>
      <c r="C13" s="24"/>
      <c r="D13" s="25">
        <v>0</v>
      </c>
      <c r="E13" s="25">
        <v>0</v>
      </c>
      <c r="F13" s="25">
        <v>0</v>
      </c>
      <c r="G13" s="25">
        <v>5</v>
      </c>
      <c r="H13" s="25">
        <v>0</v>
      </c>
      <c r="I13" s="25">
        <v>0</v>
      </c>
      <c r="J13" s="25">
        <v>0</v>
      </c>
      <c r="K13" s="25">
        <v>-322</v>
      </c>
      <c r="L13" s="25">
        <f t="shared" si="0"/>
        <v>327</v>
      </c>
      <c r="M13" s="25">
        <f t="shared" si="2"/>
        <v>-101.55279503105589</v>
      </c>
      <c r="N13" s="17"/>
      <c r="O13" s="17"/>
      <c r="P13" s="17"/>
      <c r="Q13" s="17"/>
      <c r="R13" s="17"/>
      <c r="S13" s="17"/>
      <c r="T13" s="17"/>
      <c r="U13" s="17"/>
      <c r="V13" s="17"/>
      <c r="W13" s="17"/>
      <c r="X13" s="17"/>
      <c r="Y13" s="17"/>
      <c r="Z13" s="17"/>
    </row>
    <row r="14" spans="1:26" ht="28.5" customHeight="1" x14ac:dyDescent="0.25">
      <c r="A14" s="30" t="s">
        <v>101</v>
      </c>
      <c r="B14" s="30"/>
      <c r="C14" s="30"/>
      <c r="D14" s="22">
        <v>9790</v>
      </c>
      <c r="E14" s="22">
        <v>3329</v>
      </c>
      <c r="F14" s="22">
        <v>4057</v>
      </c>
      <c r="G14" s="22">
        <v>17672</v>
      </c>
      <c r="H14" s="22">
        <v>9583</v>
      </c>
      <c r="I14" s="22">
        <v>3223</v>
      </c>
      <c r="J14" s="22">
        <v>3892</v>
      </c>
      <c r="K14" s="22">
        <v>17036</v>
      </c>
      <c r="L14" s="22">
        <f t="shared" si="0"/>
        <v>636</v>
      </c>
      <c r="M14" s="22">
        <f t="shared" si="2"/>
        <v>3.7332707208264848</v>
      </c>
      <c r="N14" s="17"/>
      <c r="O14" s="17"/>
      <c r="P14" s="17"/>
      <c r="Q14" s="17"/>
      <c r="R14" s="17"/>
      <c r="S14" s="17"/>
      <c r="T14" s="17"/>
      <c r="U14" s="17"/>
      <c r="V14" s="17"/>
      <c r="W14" s="17"/>
      <c r="X14" s="17"/>
      <c r="Y14" s="17"/>
      <c r="Z14" s="17"/>
    </row>
  </sheetData>
  <pageMargins left="0.7" right="0.7" top="0.75" bottom="0.75" header="0" footer="0"/>
  <pageSetup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2A5DB0"/>
  </sheetPr>
  <dimension ref="A1:Z15"/>
  <sheetViews>
    <sheetView workbookViewId="0">
      <pane ySplit="1" topLeftCell="A2" activePane="bottomLeft" state="frozen"/>
      <selection pane="bottomLeft"/>
    </sheetView>
  </sheetViews>
  <sheetFormatPr defaultColWidth="14.44140625" defaultRowHeight="15.75" customHeight="1" x14ac:dyDescent="0.25"/>
  <cols>
    <col min="1" max="1" width="35.6640625" customWidth="1"/>
    <col min="2" max="2" width="24.5546875" customWidth="1"/>
    <col min="3" max="3" width="35" customWidth="1"/>
    <col min="4" max="5" width="19.109375" customWidth="1"/>
    <col min="6" max="6" width="15.6640625" customWidth="1"/>
    <col min="7" max="7" width="17.44140625" customWidth="1"/>
    <col min="8" max="8" width="8.6640625" customWidth="1"/>
    <col min="9" max="9" width="5.88671875" customWidth="1"/>
    <col min="10" max="10" width="6.109375" customWidth="1"/>
    <col min="11" max="11" width="8.6640625" customWidth="1"/>
  </cols>
  <sheetData>
    <row r="1" spans="1:26" ht="34.5" customHeight="1" x14ac:dyDescent="0.25">
      <c r="A1" s="46" t="s">
        <v>1765</v>
      </c>
      <c r="B1" s="47" t="s">
        <v>10</v>
      </c>
      <c r="C1" s="47" t="s">
        <v>11</v>
      </c>
      <c r="D1" s="8" t="s">
        <v>1680</v>
      </c>
      <c r="E1" s="47" t="s">
        <v>1681</v>
      </c>
      <c r="F1" s="47" t="s">
        <v>1682</v>
      </c>
      <c r="G1" s="48" t="s">
        <v>1702</v>
      </c>
    </row>
    <row r="2" spans="1:26" ht="28.5" customHeight="1" x14ac:dyDescent="0.3">
      <c r="A2" s="11" t="s">
        <v>1766</v>
      </c>
      <c r="B2" s="11" t="s">
        <v>1767</v>
      </c>
      <c r="C2" s="11" t="s">
        <v>43</v>
      </c>
      <c r="D2" s="51">
        <v>767.9</v>
      </c>
      <c r="E2" s="51">
        <v>952.7</v>
      </c>
      <c r="F2" s="51">
        <f t="shared" ref="F2:F15" si="0">D2-E2</f>
        <v>-184.80000000000007</v>
      </c>
      <c r="G2" s="50">
        <f t="shared" ref="G2:G15" si="1">(F2/E2)*100</f>
        <v>-19.397501836884651</v>
      </c>
      <c r="H2" s="158"/>
      <c r="I2" s="126"/>
      <c r="J2" s="158"/>
      <c r="K2" s="126"/>
      <c r="L2" s="158"/>
      <c r="M2" s="158"/>
      <c r="N2" s="158"/>
      <c r="O2" s="158"/>
      <c r="P2" s="158"/>
      <c r="Q2" s="158"/>
      <c r="R2" s="158"/>
      <c r="S2" s="158"/>
      <c r="T2" s="158"/>
      <c r="U2" s="158"/>
      <c r="V2" s="158"/>
      <c r="W2" s="158"/>
      <c r="X2" s="158"/>
      <c r="Y2" s="158"/>
      <c r="Z2" s="158"/>
    </row>
    <row r="3" spans="1:26" ht="28.5" customHeight="1" x14ac:dyDescent="0.3">
      <c r="A3" s="11" t="s">
        <v>959</v>
      </c>
      <c r="B3" s="11" t="s">
        <v>960</v>
      </c>
      <c r="C3" s="11" t="s">
        <v>221</v>
      </c>
      <c r="D3" s="51">
        <v>574.1</v>
      </c>
      <c r="E3" s="51">
        <v>571.4</v>
      </c>
      <c r="F3" s="51">
        <f t="shared" si="0"/>
        <v>2.7000000000000455</v>
      </c>
      <c r="G3" s="50">
        <f t="shared" si="1"/>
        <v>0.4725236261813171</v>
      </c>
      <c r="H3" s="158"/>
      <c r="I3" s="126"/>
      <c r="J3" s="158"/>
      <c r="K3" s="126"/>
      <c r="L3" s="158"/>
      <c r="M3" s="158"/>
      <c r="N3" s="158"/>
      <c r="O3" s="158"/>
      <c r="P3" s="158"/>
      <c r="Q3" s="158"/>
      <c r="R3" s="158"/>
      <c r="S3" s="158"/>
      <c r="T3" s="158"/>
      <c r="U3" s="158"/>
      <c r="V3" s="158"/>
      <c r="W3" s="158"/>
      <c r="X3" s="158"/>
      <c r="Y3" s="158"/>
      <c r="Z3" s="158"/>
    </row>
    <row r="4" spans="1:26" ht="28.5" customHeight="1" x14ac:dyDescent="0.3">
      <c r="A4" s="11" t="s">
        <v>961</v>
      </c>
      <c r="B4" s="11" t="s">
        <v>962</v>
      </c>
      <c r="C4" s="11" t="s">
        <v>89</v>
      </c>
      <c r="D4" s="51">
        <v>276.5</v>
      </c>
      <c r="E4" s="51">
        <v>384</v>
      </c>
      <c r="F4" s="51">
        <f t="shared" si="0"/>
        <v>-107.5</v>
      </c>
      <c r="G4" s="50">
        <f t="shared" si="1"/>
        <v>-27.994791666666668</v>
      </c>
      <c r="H4" s="158"/>
      <c r="I4" s="126"/>
      <c r="J4" s="158"/>
      <c r="K4" s="126"/>
      <c r="L4" s="158"/>
      <c r="M4" s="158"/>
      <c r="N4" s="158"/>
      <c r="O4" s="158"/>
      <c r="P4" s="158"/>
      <c r="Q4" s="158"/>
      <c r="R4" s="158"/>
      <c r="S4" s="158"/>
      <c r="T4" s="158"/>
      <c r="U4" s="158"/>
      <c r="V4" s="158"/>
      <c r="W4" s="158"/>
      <c r="X4" s="158"/>
      <c r="Y4" s="158"/>
      <c r="Z4" s="158"/>
    </row>
    <row r="5" spans="1:26" ht="28.5" customHeight="1" x14ac:dyDescent="0.3">
      <c r="A5" s="11" t="s">
        <v>963</v>
      </c>
      <c r="B5" s="11" t="s">
        <v>964</v>
      </c>
      <c r="C5" s="11" t="s">
        <v>43</v>
      </c>
      <c r="D5" s="51">
        <v>238.6</v>
      </c>
      <c r="E5" s="51">
        <v>246.9</v>
      </c>
      <c r="F5" s="51">
        <f t="shared" si="0"/>
        <v>-8.3000000000000114</v>
      </c>
      <c r="G5" s="50">
        <f t="shared" si="1"/>
        <v>-3.3616848926691012</v>
      </c>
      <c r="H5" s="158"/>
      <c r="I5" s="126"/>
      <c r="J5" s="158"/>
      <c r="K5" s="126"/>
      <c r="L5" s="158"/>
      <c r="M5" s="158"/>
      <c r="N5" s="158"/>
      <c r="O5" s="158"/>
      <c r="P5" s="158"/>
      <c r="Q5" s="158"/>
      <c r="R5" s="158"/>
      <c r="S5" s="158"/>
      <c r="T5" s="158"/>
      <c r="U5" s="158"/>
      <c r="V5" s="158"/>
      <c r="W5" s="158"/>
      <c r="X5" s="158"/>
      <c r="Y5" s="158"/>
      <c r="Z5" s="158"/>
    </row>
    <row r="6" spans="1:26" ht="28.5" customHeight="1" x14ac:dyDescent="0.3">
      <c r="A6" s="11" t="s">
        <v>965</v>
      </c>
      <c r="B6" s="11" t="s">
        <v>966</v>
      </c>
      <c r="C6" s="11" t="s">
        <v>97</v>
      </c>
      <c r="D6" s="51">
        <v>188.8</v>
      </c>
      <c r="E6" s="51">
        <v>208.5</v>
      </c>
      <c r="F6" s="51">
        <f t="shared" si="0"/>
        <v>-19.699999999999989</v>
      </c>
      <c r="G6" s="50">
        <f t="shared" si="1"/>
        <v>-9.4484412470023926</v>
      </c>
      <c r="H6" s="158"/>
      <c r="I6" s="126"/>
      <c r="J6" s="158"/>
      <c r="K6" s="126"/>
      <c r="L6" s="158"/>
      <c r="M6" s="158"/>
      <c r="N6" s="158"/>
      <c r="O6" s="158"/>
      <c r="P6" s="158"/>
      <c r="Q6" s="158"/>
      <c r="R6" s="158"/>
      <c r="S6" s="158"/>
      <c r="T6" s="158"/>
      <c r="U6" s="158"/>
      <c r="V6" s="158"/>
      <c r="W6" s="158"/>
      <c r="X6" s="158"/>
      <c r="Y6" s="158"/>
      <c r="Z6" s="158"/>
    </row>
    <row r="7" spans="1:26" ht="28.5" customHeight="1" x14ac:dyDescent="0.3">
      <c r="A7" s="11" t="s">
        <v>23</v>
      </c>
      <c r="B7" s="11"/>
      <c r="C7" s="11"/>
      <c r="D7" s="51">
        <v>13.7</v>
      </c>
      <c r="E7" s="51">
        <v>60.3</v>
      </c>
      <c r="F7" s="51">
        <f t="shared" si="0"/>
        <v>-46.599999999999994</v>
      </c>
      <c r="G7" s="50">
        <f t="shared" si="1"/>
        <v>-77.280265339966832</v>
      </c>
      <c r="H7" s="158"/>
      <c r="I7" s="126"/>
      <c r="J7" s="158"/>
      <c r="K7" s="126"/>
      <c r="L7" s="158"/>
      <c r="M7" s="158"/>
      <c r="N7" s="158"/>
      <c r="O7" s="158"/>
      <c r="P7" s="158"/>
      <c r="Q7" s="158"/>
      <c r="R7" s="158"/>
      <c r="S7" s="158"/>
      <c r="T7" s="158"/>
      <c r="U7" s="158"/>
      <c r="V7" s="158"/>
      <c r="W7" s="158"/>
      <c r="X7" s="158"/>
      <c r="Y7" s="158"/>
      <c r="Z7" s="158"/>
    </row>
    <row r="8" spans="1:26" ht="28.5" customHeight="1" x14ac:dyDescent="0.3">
      <c r="A8" s="26" t="s">
        <v>967</v>
      </c>
      <c r="B8" s="26"/>
      <c r="C8" s="26"/>
      <c r="D8" s="19">
        <v>2059.6</v>
      </c>
      <c r="E8" s="19">
        <v>2423.8000000000002</v>
      </c>
      <c r="F8" s="19">
        <f t="shared" si="0"/>
        <v>-364.20000000000027</v>
      </c>
      <c r="G8" s="92">
        <f t="shared" si="1"/>
        <v>-15.025992243584465</v>
      </c>
      <c r="H8" s="158"/>
      <c r="I8" s="126"/>
      <c r="J8" s="158"/>
      <c r="K8" s="126"/>
      <c r="L8" s="158"/>
      <c r="M8" s="158"/>
      <c r="N8" s="158"/>
      <c r="O8" s="158"/>
      <c r="P8" s="158"/>
      <c r="Q8" s="158"/>
      <c r="R8" s="158"/>
      <c r="S8" s="158"/>
      <c r="T8" s="158"/>
      <c r="U8" s="158"/>
      <c r="V8" s="158"/>
      <c r="W8" s="158"/>
      <c r="X8" s="158"/>
      <c r="Y8" s="158"/>
      <c r="Z8" s="158"/>
    </row>
    <row r="9" spans="1:26" ht="28.5" customHeight="1" x14ac:dyDescent="0.3">
      <c r="A9" s="11" t="s">
        <v>968</v>
      </c>
      <c r="B9" s="11" t="s">
        <v>969</v>
      </c>
      <c r="C9" s="11" t="s">
        <v>89</v>
      </c>
      <c r="D9" s="51">
        <v>98</v>
      </c>
      <c r="E9" s="51">
        <v>76.3</v>
      </c>
      <c r="F9" s="51">
        <f t="shared" si="0"/>
        <v>21.700000000000003</v>
      </c>
      <c r="G9" s="50">
        <f t="shared" si="1"/>
        <v>28.440366972477072</v>
      </c>
      <c r="H9" s="158"/>
      <c r="I9" s="126"/>
      <c r="J9" s="158"/>
      <c r="K9" s="126"/>
      <c r="L9" s="158"/>
      <c r="M9" s="158"/>
      <c r="N9" s="158"/>
      <c r="O9" s="158"/>
      <c r="P9" s="158"/>
      <c r="Q9" s="158"/>
      <c r="R9" s="158"/>
      <c r="S9" s="158"/>
      <c r="T9" s="158"/>
      <c r="U9" s="158"/>
      <c r="V9" s="158"/>
      <c r="W9" s="158"/>
      <c r="X9" s="158"/>
      <c r="Y9" s="158"/>
      <c r="Z9" s="158"/>
    </row>
    <row r="10" spans="1:26" ht="28.5" customHeight="1" x14ac:dyDescent="0.3">
      <c r="A10" s="11" t="s">
        <v>970</v>
      </c>
      <c r="B10" s="11" t="s">
        <v>971</v>
      </c>
      <c r="C10" s="11" t="s">
        <v>89</v>
      </c>
      <c r="D10" s="51">
        <v>68.400000000000006</v>
      </c>
      <c r="E10" s="51">
        <v>74.900000000000006</v>
      </c>
      <c r="F10" s="51">
        <f t="shared" si="0"/>
        <v>-6.5</v>
      </c>
      <c r="G10" s="50">
        <f t="shared" si="1"/>
        <v>-8.6782376502002663</v>
      </c>
      <c r="H10" s="158"/>
      <c r="I10" s="126"/>
      <c r="J10" s="158"/>
      <c r="K10" s="126"/>
      <c r="L10" s="158"/>
      <c r="M10" s="158"/>
      <c r="N10" s="158"/>
      <c r="O10" s="158"/>
      <c r="P10" s="158"/>
      <c r="Q10" s="158"/>
      <c r="R10" s="158"/>
      <c r="S10" s="158"/>
      <c r="T10" s="158"/>
      <c r="U10" s="158"/>
      <c r="V10" s="158"/>
      <c r="W10" s="158"/>
      <c r="X10" s="158"/>
      <c r="Y10" s="158"/>
      <c r="Z10" s="158"/>
    </row>
    <row r="11" spans="1:26" ht="28.5" customHeight="1" x14ac:dyDescent="0.3">
      <c r="A11" s="11" t="s">
        <v>972</v>
      </c>
      <c r="B11" s="11" t="s">
        <v>962</v>
      </c>
      <c r="C11" s="11" t="s">
        <v>89</v>
      </c>
      <c r="D11" s="51">
        <v>213</v>
      </c>
      <c r="E11" s="51">
        <v>189.9</v>
      </c>
      <c r="F11" s="51">
        <f t="shared" si="0"/>
        <v>23.099999999999994</v>
      </c>
      <c r="G11" s="50">
        <f t="shared" si="1"/>
        <v>12.164296998420218</v>
      </c>
      <c r="H11" s="158"/>
      <c r="I11" s="126"/>
      <c r="J11" s="158"/>
      <c r="K11" s="126"/>
      <c r="L11" s="158"/>
      <c r="M11" s="158"/>
      <c r="N11" s="158"/>
      <c r="O11" s="158"/>
      <c r="P11" s="158"/>
      <c r="Q11" s="158"/>
      <c r="R11" s="158"/>
      <c r="S11" s="158"/>
      <c r="T11" s="158"/>
      <c r="U11" s="158"/>
      <c r="V11" s="158"/>
      <c r="W11" s="158"/>
      <c r="X11" s="158"/>
      <c r="Y11" s="158"/>
      <c r="Z11" s="158"/>
    </row>
    <row r="12" spans="1:26" ht="28.5" customHeight="1" x14ac:dyDescent="0.3">
      <c r="A12" s="11" t="s">
        <v>973</v>
      </c>
      <c r="B12" s="11"/>
      <c r="C12" s="11"/>
      <c r="D12" s="51">
        <v>289.89999999999998</v>
      </c>
      <c r="E12" s="51">
        <v>352.5</v>
      </c>
      <c r="F12" s="51">
        <f t="shared" si="0"/>
        <v>-62.600000000000023</v>
      </c>
      <c r="G12" s="50">
        <f t="shared" si="1"/>
        <v>-17.758865248226957</v>
      </c>
      <c r="H12" s="158"/>
      <c r="I12" s="126"/>
      <c r="J12" s="158"/>
      <c r="K12" s="126"/>
      <c r="L12" s="158"/>
      <c r="M12" s="158"/>
      <c r="N12" s="158"/>
      <c r="O12" s="158"/>
      <c r="P12" s="158"/>
      <c r="Q12" s="158"/>
      <c r="R12" s="158"/>
      <c r="S12" s="158"/>
      <c r="T12" s="158"/>
      <c r="U12" s="158"/>
      <c r="V12" s="158"/>
      <c r="W12" s="158"/>
      <c r="X12" s="158"/>
      <c r="Y12" s="158"/>
      <c r="Z12" s="158"/>
    </row>
    <row r="13" spans="1:26" ht="28.5" customHeight="1" x14ac:dyDescent="0.3">
      <c r="A13" s="11" t="s">
        <v>23</v>
      </c>
      <c r="B13" s="11"/>
      <c r="C13" s="11"/>
      <c r="D13" s="51">
        <v>20.5</v>
      </c>
      <c r="E13" s="51">
        <v>45.1</v>
      </c>
      <c r="F13" s="51">
        <f t="shared" si="0"/>
        <v>-24.6</v>
      </c>
      <c r="G13" s="50">
        <f t="shared" si="1"/>
        <v>-54.54545454545454</v>
      </c>
      <c r="H13" s="158"/>
      <c r="I13" s="126"/>
      <c r="J13" s="158"/>
      <c r="K13" s="126"/>
      <c r="L13" s="158"/>
      <c r="M13" s="158"/>
      <c r="N13" s="158"/>
      <c r="O13" s="158"/>
      <c r="P13" s="158"/>
      <c r="Q13" s="158"/>
      <c r="R13" s="158"/>
      <c r="S13" s="158"/>
      <c r="T13" s="158"/>
      <c r="U13" s="158"/>
      <c r="V13" s="158"/>
      <c r="W13" s="158"/>
      <c r="X13" s="158"/>
      <c r="Y13" s="158"/>
      <c r="Z13" s="158"/>
    </row>
    <row r="14" spans="1:26" ht="28.5" customHeight="1" x14ac:dyDescent="0.3">
      <c r="A14" s="26" t="s">
        <v>974</v>
      </c>
      <c r="B14" s="26"/>
      <c r="C14" s="26"/>
      <c r="D14" s="19">
        <v>689.8</v>
      </c>
      <c r="E14" s="19">
        <v>738.7</v>
      </c>
      <c r="F14" s="19">
        <f t="shared" si="0"/>
        <v>-48.900000000000091</v>
      </c>
      <c r="G14" s="92">
        <f t="shared" si="1"/>
        <v>-6.6197373764721927</v>
      </c>
      <c r="H14" s="158"/>
      <c r="I14" s="126"/>
      <c r="J14" s="158"/>
      <c r="K14" s="126"/>
      <c r="L14" s="158"/>
      <c r="M14" s="158"/>
      <c r="N14" s="158"/>
      <c r="O14" s="158"/>
      <c r="P14" s="158"/>
      <c r="Q14" s="158"/>
      <c r="R14" s="158"/>
      <c r="S14" s="158"/>
      <c r="T14" s="158"/>
      <c r="U14" s="158"/>
      <c r="V14" s="158"/>
      <c r="W14" s="158"/>
      <c r="X14" s="158"/>
      <c r="Y14" s="158"/>
      <c r="Z14" s="158"/>
    </row>
    <row r="15" spans="1:26" ht="28.5" customHeight="1" x14ac:dyDescent="0.3">
      <c r="A15" s="26" t="s">
        <v>38</v>
      </c>
      <c r="B15" s="26"/>
      <c r="C15" s="26"/>
      <c r="D15" s="19">
        <v>3215.6</v>
      </c>
      <c r="E15" s="19">
        <v>3162.5</v>
      </c>
      <c r="F15" s="19">
        <f t="shared" si="0"/>
        <v>53.099999999999909</v>
      </c>
      <c r="G15" s="92">
        <f t="shared" si="1"/>
        <v>1.6790513833992067</v>
      </c>
      <c r="H15" s="158"/>
      <c r="I15" s="126"/>
      <c r="J15" s="158"/>
      <c r="K15" s="126"/>
      <c r="L15" s="158"/>
      <c r="M15" s="158"/>
      <c r="N15" s="158"/>
      <c r="O15" s="158"/>
      <c r="P15" s="158"/>
      <c r="Q15" s="158"/>
      <c r="R15" s="158"/>
      <c r="S15" s="158"/>
      <c r="T15" s="158"/>
      <c r="U15" s="158"/>
      <c r="V15" s="158"/>
      <c r="W15" s="158"/>
      <c r="X15" s="158"/>
      <c r="Y15" s="158"/>
      <c r="Z15" s="158"/>
    </row>
  </sheetData>
  <pageMargins left="0.7" right="0.7" top="0.75" bottom="0.75" header="0" footer="0"/>
  <pageSetup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2A5DB0"/>
  </sheetPr>
  <dimension ref="A1:Z55"/>
  <sheetViews>
    <sheetView workbookViewId="0">
      <pane ySplit="1" topLeftCell="A2" activePane="bottomLeft" state="frozen"/>
      <selection pane="bottomLeft"/>
    </sheetView>
  </sheetViews>
  <sheetFormatPr defaultColWidth="14.44140625" defaultRowHeight="15.75" customHeight="1" x14ac:dyDescent="0.25"/>
  <cols>
    <col min="1" max="1" width="25.33203125" customWidth="1"/>
    <col min="2" max="2" width="26.5546875" customWidth="1"/>
    <col min="3" max="3" width="27.33203125" customWidth="1"/>
    <col min="4" max="7" width="14.109375" customWidth="1"/>
    <col min="8" max="8" width="15.33203125" customWidth="1"/>
    <col min="9" max="9" width="18.33203125" customWidth="1"/>
    <col min="10" max="10" width="15.109375" customWidth="1"/>
    <col min="11" max="11" width="12.5546875" customWidth="1"/>
    <col min="12" max="26" width="9.109375" customWidth="1"/>
  </cols>
  <sheetData>
    <row r="1" spans="1:26" ht="34.5" customHeight="1" x14ac:dyDescent="0.25">
      <c r="A1" s="28" t="s">
        <v>1768</v>
      </c>
      <c r="B1" s="8" t="s">
        <v>10</v>
      </c>
      <c r="C1" s="8" t="s">
        <v>11</v>
      </c>
      <c r="D1" s="9" t="s">
        <v>1678</v>
      </c>
      <c r="E1" s="9" t="s">
        <v>1686</v>
      </c>
      <c r="F1" s="9" t="s">
        <v>1687</v>
      </c>
      <c r="G1" s="9" t="s">
        <v>1678</v>
      </c>
      <c r="H1" s="9" t="s">
        <v>1686</v>
      </c>
      <c r="I1" s="9" t="s">
        <v>1688</v>
      </c>
      <c r="J1" s="8" t="s">
        <v>1682</v>
      </c>
      <c r="K1" s="9" t="s">
        <v>1683</v>
      </c>
      <c r="L1" s="176"/>
      <c r="M1" s="17"/>
      <c r="N1" s="17"/>
      <c r="O1" s="17"/>
      <c r="P1" s="17"/>
      <c r="Q1" s="17"/>
      <c r="R1" s="17"/>
      <c r="S1" s="17"/>
      <c r="T1" s="17"/>
      <c r="U1" s="17"/>
      <c r="V1" s="17"/>
      <c r="W1" s="17"/>
      <c r="X1" s="17"/>
      <c r="Y1" s="17"/>
      <c r="Z1" s="17"/>
    </row>
    <row r="2" spans="1:26" ht="28.5" customHeight="1" x14ac:dyDescent="0.25">
      <c r="A2" s="24" t="s">
        <v>1674</v>
      </c>
      <c r="B2" s="24" t="s">
        <v>1769</v>
      </c>
      <c r="C2" s="24" t="s">
        <v>49</v>
      </c>
      <c r="D2" s="25">
        <v>8352</v>
      </c>
      <c r="E2" s="25">
        <v>6028</v>
      </c>
      <c r="F2" s="25">
        <f t="shared" ref="F2:F3" si="0">D2+E2</f>
        <v>14380</v>
      </c>
      <c r="G2" s="25">
        <v>6305</v>
      </c>
      <c r="H2" s="25">
        <v>4779</v>
      </c>
      <c r="I2" s="25">
        <f>SUM(G2:H2)</f>
        <v>11084</v>
      </c>
      <c r="J2" s="25">
        <f t="shared" ref="J2:J55" si="1">F2-I2</f>
        <v>3296</v>
      </c>
      <c r="K2" s="25">
        <f t="shared" ref="K2:K14" si="2">(J2/I2)*100</f>
        <v>29.736557199566942</v>
      </c>
      <c r="L2" s="45"/>
      <c r="M2" s="45"/>
      <c r="N2" s="45"/>
      <c r="O2" s="45"/>
      <c r="P2" s="45"/>
      <c r="Q2" s="45"/>
      <c r="R2" s="45"/>
      <c r="S2" s="45"/>
      <c r="T2" s="45"/>
      <c r="U2" s="45"/>
      <c r="V2" s="45"/>
      <c r="W2" s="45"/>
      <c r="X2" s="45"/>
      <c r="Y2" s="45"/>
      <c r="Z2" s="45"/>
    </row>
    <row r="3" spans="1:26" ht="28.5" customHeight="1" x14ac:dyDescent="0.25">
      <c r="A3" s="24" t="s">
        <v>182</v>
      </c>
      <c r="B3" s="12" t="s">
        <v>183</v>
      </c>
      <c r="C3" s="24" t="s">
        <v>49</v>
      </c>
      <c r="D3" s="12">
        <v>417</v>
      </c>
      <c r="E3" s="12">
        <v>308</v>
      </c>
      <c r="F3" s="25">
        <f t="shared" si="0"/>
        <v>725</v>
      </c>
      <c r="G3" s="12">
        <v>269</v>
      </c>
      <c r="H3" s="25">
        <v>176</v>
      </c>
      <c r="I3" s="25">
        <v>444</v>
      </c>
      <c r="J3" s="25">
        <f t="shared" si="1"/>
        <v>281</v>
      </c>
      <c r="K3" s="25">
        <f t="shared" si="2"/>
        <v>63.288288288288285</v>
      </c>
      <c r="L3" s="17"/>
      <c r="M3" s="17"/>
      <c r="N3" s="17"/>
      <c r="O3" s="17"/>
      <c r="P3" s="17"/>
      <c r="Q3" s="17"/>
      <c r="R3" s="17"/>
      <c r="S3" s="17"/>
      <c r="T3" s="17"/>
      <c r="U3" s="17"/>
      <c r="V3" s="17"/>
      <c r="W3" s="17"/>
      <c r="X3" s="17"/>
      <c r="Y3" s="17"/>
      <c r="Z3" s="17"/>
    </row>
    <row r="4" spans="1:26" ht="28.5" customHeight="1" x14ac:dyDescent="0.25">
      <c r="A4" s="12" t="s">
        <v>976</v>
      </c>
      <c r="B4" s="24" t="s">
        <v>589</v>
      </c>
      <c r="C4" s="24" t="s">
        <v>49</v>
      </c>
      <c r="D4" s="25">
        <v>359</v>
      </c>
      <c r="E4" s="25">
        <v>220</v>
      </c>
      <c r="F4" s="25">
        <v>580</v>
      </c>
      <c r="G4" s="25">
        <v>239</v>
      </c>
      <c r="H4" s="25">
        <v>165</v>
      </c>
      <c r="I4" s="25">
        <f t="shared" ref="I4:I5" si="3">SUM(G4:H4)</f>
        <v>404</v>
      </c>
      <c r="J4" s="25">
        <f t="shared" si="1"/>
        <v>176</v>
      </c>
      <c r="K4" s="25">
        <f t="shared" si="2"/>
        <v>43.564356435643568</v>
      </c>
      <c r="L4" s="17"/>
      <c r="M4" s="17"/>
      <c r="N4" s="17"/>
      <c r="O4" s="17"/>
      <c r="P4" s="17"/>
      <c r="Q4" s="17"/>
      <c r="R4" s="17"/>
      <c r="S4" s="17"/>
      <c r="T4" s="17"/>
      <c r="U4" s="17"/>
      <c r="V4" s="17"/>
      <c r="W4" s="17"/>
      <c r="X4" s="17"/>
      <c r="Y4" s="17"/>
      <c r="Z4" s="17"/>
    </row>
    <row r="5" spans="1:26" ht="28.5" customHeight="1" x14ac:dyDescent="0.25">
      <c r="A5" s="24" t="s">
        <v>977</v>
      </c>
      <c r="B5" s="24" t="s">
        <v>978</v>
      </c>
      <c r="C5" s="24" t="s">
        <v>49</v>
      </c>
      <c r="D5" s="25">
        <v>18</v>
      </c>
      <c r="E5" s="25">
        <v>127</v>
      </c>
      <c r="F5" s="25">
        <f t="shared" ref="F5:F55" si="4">D5+E5</f>
        <v>145</v>
      </c>
      <c r="G5" s="25">
        <v>183</v>
      </c>
      <c r="H5" s="25">
        <v>205</v>
      </c>
      <c r="I5" s="25">
        <f t="shared" si="3"/>
        <v>388</v>
      </c>
      <c r="J5" s="25">
        <f t="shared" si="1"/>
        <v>-243</v>
      </c>
      <c r="K5" s="25">
        <f t="shared" si="2"/>
        <v>-62.628865979381445</v>
      </c>
      <c r="L5" s="17"/>
      <c r="M5" s="17"/>
      <c r="N5" s="17"/>
      <c r="O5" s="17"/>
      <c r="P5" s="17"/>
      <c r="Q5" s="17"/>
      <c r="R5" s="17"/>
      <c r="S5" s="17"/>
      <c r="T5" s="17"/>
      <c r="U5" s="17"/>
      <c r="V5" s="17"/>
      <c r="W5" s="17"/>
      <c r="X5" s="17"/>
      <c r="Y5" s="17"/>
      <c r="Z5" s="17"/>
    </row>
    <row r="6" spans="1:26" ht="28.5" customHeight="1" x14ac:dyDescent="0.25">
      <c r="A6" s="30" t="s">
        <v>198</v>
      </c>
      <c r="B6" s="30"/>
      <c r="C6" s="147" t="s">
        <v>49</v>
      </c>
      <c r="D6" s="19">
        <f t="shared" ref="D6:E6" si="5">D2+D3+D4+D5</f>
        <v>9146</v>
      </c>
      <c r="E6" s="19">
        <f t="shared" si="5"/>
        <v>6683</v>
      </c>
      <c r="F6" s="22">
        <f t="shared" si="4"/>
        <v>15829</v>
      </c>
      <c r="G6" s="19">
        <f t="shared" ref="G6:I6" si="6">SUM(G2:G5)</f>
        <v>6996</v>
      </c>
      <c r="H6" s="19">
        <f t="shared" si="6"/>
        <v>5325</v>
      </c>
      <c r="I6" s="22">
        <f t="shared" si="6"/>
        <v>12320</v>
      </c>
      <c r="J6" s="22">
        <f t="shared" si="1"/>
        <v>3509</v>
      </c>
      <c r="K6" s="22">
        <f t="shared" si="2"/>
        <v>28.482142857142854</v>
      </c>
      <c r="L6" s="17"/>
      <c r="M6" s="17"/>
      <c r="N6" s="17"/>
      <c r="O6" s="17"/>
      <c r="P6" s="17"/>
      <c r="Q6" s="17"/>
      <c r="R6" s="17"/>
      <c r="S6" s="17"/>
      <c r="T6" s="17"/>
      <c r="U6" s="17"/>
      <c r="V6" s="17"/>
      <c r="W6" s="17"/>
      <c r="X6" s="17"/>
      <c r="Y6" s="17"/>
      <c r="Z6" s="17"/>
    </row>
    <row r="7" spans="1:26" ht="28.5" customHeight="1" x14ac:dyDescent="0.25">
      <c r="A7" s="24" t="s">
        <v>979</v>
      </c>
      <c r="B7" s="24" t="s">
        <v>980</v>
      </c>
      <c r="C7" s="24" t="s">
        <v>239</v>
      </c>
      <c r="D7" s="25">
        <v>1755</v>
      </c>
      <c r="E7" s="25">
        <v>2184</v>
      </c>
      <c r="F7" s="25">
        <f t="shared" si="4"/>
        <v>3939</v>
      </c>
      <c r="G7" s="25">
        <v>1831</v>
      </c>
      <c r="H7" s="25">
        <v>1905</v>
      </c>
      <c r="I7" s="25">
        <v>3737</v>
      </c>
      <c r="J7" s="25">
        <f t="shared" si="1"/>
        <v>202</v>
      </c>
      <c r="K7" s="25">
        <f t="shared" si="2"/>
        <v>5.4054054054054053</v>
      </c>
      <c r="L7" s="17"/>
      <c r="M7" s="17"/>
      <c r="N7" s="17"/>
      <c r="O7" s="17"/>
      <c r="P7" s="17"/>
      <c r="Q7" s="17"/>
      <c r="R7" s="17"/>
      <c r="S7" s="17"/>
      <c r="T7" s="17"/>
      <c r="U7" s="17"/>
      <c r="V7" s="17"/>
      <c r="W7" s="17"/>
      <c r="X7" s="17"/>
      <c r="Y7" s="17"/>
      <c r="Z7" s="17"/>
    </row>
    <row r="8" spans="1:26" ht="28.5" customHeight="1" x14ac:dyDescent="0.25">
      <c r="A8" s="24" t="s">
        <v>981</v>
      </c>
      <c r="B8" s="24" t="s">
        <v>982</v>
      </c>
      <c r="C8" s="24" t="s">
        <v>239</v>
      </c>
      <c r="D8" s="25">
        <v>1378</v>
      </c>
      <c r="E8" s="25">
        <v>500</v>
      </c>
      <c r="F8" s="25">
        <f t="shared" si="4"/>
        <v>1878</v>
      </c>
      <c r="G8" s="25">
        <v>1683</v>
      </c>
      <c r="H8" s="25">
        <v>592</v>
      </c>
      <c r="I8" s="25">
        <f t="shared" ref="I8:I9" si="7">SUM(G8:H8)</f>
        <v>2275</v>
      </c>
      <c r="J8" s="25">
        <f t="shared" si="1"/>
        <v>-397</v>
      </c>
      <c r="K8" s="25">
        <f t="shared" si="2"/>
        <v>-17.450549450549453</v>
      </c>
      <c r="L8" s="17"/>
      <c r="M8" s="17"/>
      <c r="N8" s="17"/>
      <c r="O8" s="17"/>
      <c r="P8" s="17"/>
      <c r="Q8" s="17"/>
      <c r="R8" s="17"/>
      <c r="S8" s="17"/>
      <c r="T8" s="17"/>
      <c r="U8" s="17"/>
      <c r="V8" s="17"/>
      <c r="W8" s="17"/>
      <c r="X8" s="17"/>
      <c r="Y8" s="17"/>
      <c r="Z8" s="17"/>
    </row>
    <row r="9" spans="1:26" ht="28.5" customHeight="1" x14ac:dyDescent="0.25">
      <c r="A9" s="24" t="s">
        <v>983</v>
      </c>
      <c r="B9" s="24" t="s">
        <v>984</v>
      </c>
      <c r="C9" s="24" t="s">
        <v>239</v>
      </c>
      <c r="D9" s="25">
        <v>727</v>
      </c>
      <c r="E9" s="25">
        <v>359</v>
      </c>
      <c r="F9" s="25">
        <f t="shared" si="4"/>
        <v>1086</v>
      </c>
      <c r="G9" s="25">
        <v>679</v>
      </c>
      <c r="H9" s="49">
        <v>247</v>
      </c>
      <c r="I9" s="25">
        <f t="shared" si="7"/>
        <v>926</v>
      </c>
      <c r="J9" s="25">
        <f t="shared" si="1"/>
        <v>160</v>
      </c>
      <c r="K9" s="25">
        <f t="shared" si="2"/>
        <v>17.278617710583152</v>
      </c>
      <c r="L9" s="17"/>
      <c r="M9" s="17"/>
      <c r="N9" s="17"/>
      <c r="O9" s="17"/>
      <c r="P9" s="17"/>
      <c r="Q9" s="17"/>
      <c r="R9" s="17"/>
      <c r="S9" s="17"/>
      <c r="T9" s="17"/>
      <c r="U9" s="17"/>
      <c r="V9" s="17"/>
      <c r="W9" s="17"/>
      <c r="X9" s="17"/>
      <c r="Y9" s="17"/>
      <c r="Z9" s="17"/>
    </row>
    <row r="10" spans="1:26" ht="28.5" customHeight="1" x14ac:dyDescent="0.25">
      <c r="A10" s="24" t="s">
        <v>985</v>
      </c>
      <c r="B10" s="24" t="s">
        <v>986</v>
      </c>
      <c r="C10" s="24" t="s">
        <v>239</v>
      </c>
      <c r="D10" s="25">
        <v>486</v>
      </c>
      <c r="E10" s="25">
        <v>311</v>
      </c>
      <c r="F10" s="25">
        <f t="shared" si="4"/>
        <v>797</v>
      </c>
      <c r="G10" s="25">
        <v>506</v>
      </c>
      <c r="H10" s="25">
        <v>284</v>
      </c>
      <c r="I10" s="25">
        <v>791</v>
      </c>
      <c r="J10" s="25">
        <f t="shared" si="1"/>
        <v>6</v>
      </c>
      <c r="K10" s="25">
        <f t="shared" si="2"/>
        <v>0.75853350189633373</v>
      </c>
      <c r="L10" s="17"/>
      <c r="M10" s="17"/>
      <c r="N10" s="17"/>
      <c r="O10" s="17"/>
      <c r="P10" s="17"/>
      <c r="Q10" s="17"/>
      <c r="R10" s="17"/>
      <c r="S10" s="17"/>
      <c r="T10" s="17"/>
      <c r="U10" s="17"/>
      <c r="V10" s="17"/>
      <c r="W10" s="17"/>
      <c r="X10" s="17"/>
      <c r="Y10" s="17"/>
      <c r="Z10" s="17"/>
    </row>
    <row r="11" spans="1:26" ht="28.5" customHeight="1" x14ac:dyDescent="0.25">
      <c r="A11" s="24" t="s">
        <v>987</v>
      </c>
      <c r="B11" s="24" t="s">
        <v>988</v>
      </c>
      <c r="C11" s="24" t="s">
        <v>239</v>
      </c>
      <c r="D11" s="25">
        <v>103</v>
      </c>
      <c r="E11" s="25">
        <v>67</v>
      </c>
      <c r="F11" s="25">
        <f t="shared" si="4"/>
        <v>170</v>
      </c>
      <c r="G11" s="25">
        <v>130</v>
      </c>
      <c r="H11" s="49">
        <v>108</v>
      </c>
      <c r="I11" s="25">
        <v>238</v>
      </c>
      <c r="J11" s="25">
        <f t="shared" si="1"/>
        <v>-68</v>
      </c>
      <c r="K11" s="25">
        <f t="shared" si="2"/>
        <v>-28.571428571428569</v>
      </c>
      <c r="L11" s="17"/>
      <c r="M11" s="17"/>
      <c r="N11" s="17"/>
      <c r="O11" s="17"/>
      <c r="P11" s="17"/>
      <c r="Q11" s="17"/>
      <c r="R11" s="17"/>
      <c r="S11" s="17"/>
      <c r="T11" s="17"/>
      <c r="U11" s="17"/>
      <c r="V11" s="17"/>
      <c r="W11" s="17"/>
      <c r="X11" s="17"/>
      <c r="Y11" s="17"/>
      <c r="Z11" s="17"/>
    </row>
    <row r="12" spans="1:26" ht="28.5" customHeight="1" x14ac:dyDescent="0.25">
      <c r="A12" s="30" t="s">
        <v>746</v>
      </c>
      <c r="B12" s="30"/>
      <c r="C12" s="31" t="s">
        <v>239</v>
      </c>
      <c r="D12" s="22">
        <f t="shared" ref="D12:E12" si="8">D7+D8+D9+D10+D11</f>
        <v>4449</v>
      </c>
      <c r="E12" s="22">
        <f t="shared" si="8"/>
        <v>3421</v>
      </c>
      <c r="F12" s="22">
        <f t="shared" si="4"/>
        <v>7870</v>
      </c>
      <c r="G12" s="22">
        <f t="shared" ref="G12:I12" si="9">SUM(G7:G11)</f>
        <v>4829</v>
      </c>
      <c r="H12" s="22">
        <f t="shared" si="9"/>
        <v>3136</v>
      </c>
      <c r="I12" s="22">
        <f t="shared" si="9"/>
        <v>7967</v>
      </c>
      <c r="J12" s="22">
        <f t="shared" si="1"/>
        <v>-97</v>
      </c>
      <c r="K12" s="22">
        <f t="shared" si="2"/>
        <v>-1.2175222794025355</v>
      </c>
      <c r="L12" s="17"/>
      <c r="M12" s="17"/>
      <c r="N12" s="17"/>
      <c r="O12" s="17"/>
      <c r="P12" s="17"/>
      <c r="Q12" s="17"/>
      <c r="R12" s="17"/>
      <c r="S12" s="17"/>
      <c r="T12" s="17"/>
      <c r="U12" s="17"/>
      <c r="V12" s="17"/>
      <c r="W12" s="17"/>
      <c r="X12" s="17"/>
      <c r="Y12" s="17"/>
      <c r="Z12" s="17"/>
    </row>
    <row r="13" spans="1:26" ht="28.5" customHeight="1" x14ac:dyDescent="0.25">
      <c r="A13" s="24" t="s">
        <v>989</v>
      </c>
      <c r="B13" s="24" t="s">
        <v>990</v>
      </c>
      <c r="C13" s="24" t="s">
        <v>62</v>
      </c>
      <c r="D13" s="25">
        <v>583</v>
      </c>
      <c r="E13" s="25">
        <v>615</v>
      </c>
      <c r="F13" s="25">
        <f t="shared" si="4"/>
        <v>1198</v>
      </c>
      <c r="G13" s="25">
        <v>533</v>
      </c>
      <c r="H13" s="25">
        <v>598</v>
      </c>
      <c r="I13" s="25">
        <f t="shared" ref="I13:I14" si="10">SUM(G13:H13)</f>
        <v>1131</v>
      </c>
      <c r="J13" s="25">
        <f t="shared" si="1"/>
        <v>67</v>
      </c>
      <c r="K13" s="25">
        <f t="shared" si="2"/>
        <v>5.9239610963748897</v>
      </c>
      <c r="L13" s="45"/>
      <c r="M13" s="45"/>
      <c r="N13" s="45"/>
      <c r="O13" s="45"/>
      <c r="P13" s="45"/>
      <c r="Q13" s="45"/>
      <c r="R13" s="45"/>
      <c r="S13" s="45"/>
      <c r="T13" s="45"/>
      <c r="U13" s="45"/>
      <c r="V13" s="45"/>
      <c r="W13" s="45"/>
      <c r="X13" s="45"/>
      <c r="Y13" s="45"/>
      <c r="Z13" s="45"/>
    </row>
    <row r="14" spans="1:26" ht="28.5" customHeight="1" x14ac:dyDescent="0.25">
      <c r="A14" s="24" t="s">
        <v>991</v>
      </c>
      <c r="B14" s="24" t="s">
        <v>992</v>
      </c>
      <c r="C14" s="32" t="s">
        <v>89</v>
      </c>
      <c r="D14" s="25">
        <v>42</v>
      </c>
      <c r="E14" s="25">
        <v>287</v>
      </c>
      <c r="F14" s="25">
        <f t="shared" si="4"/>
        <v>329</v>
      </c>
      <c r="G14" s="25">
        <v>282</v>
      </c>
      <c r="H14" s="25">
        <v>380</v>
      </c>
      <c r="I14" s="25">
        <f t="shared" si="10"/>
        <v>662</v>
      </c>
      <c r="J14" s="25">
        <f t="shared" si="1"/>
        <v>-333</v>
      </c>
      <c r="K14" s="25">
        <f t="shared" si="2"/>
        <v>-50.302114803625372</v>
      </c>
      <c r="L14" s="17"/>
      <c r="M14" s="17"/>
      <c r="N14" s="17"/>
      <c r="O14" s="17"/>
      <c r="P14" s="17"/>
      <c r="Q14" s="17"/>
      <c r="R14" s="17"/>
      <c r="S14" s="17"/>
      <c r="T14" s="17"/>
      <c r="U14" s="17"/>
      <c r="V14" s="17"/>
      <c r="W14" s="17"/>
      <c r="X14" s="17"/>
      <c r="Y14" s="17"/>
      <c r="Z14" s="17"/>
    </row>
    <row r="15" spans="1:26" ht="28.5" customHeight="1" x14ac:dyDescent="0.25">
      <c r="A15" s="24" t="s">
        <v>993</v>
      </c>
      <c r="B15" s="11" t="s">
        <v>994</v>
      </c>
      <c r="C15" s="32" t="s">
        <v>89</v>
      </c>
      <c r="D15" s="25">
        <v>119</v>
      </c>
      <c r="E15" s="25">
        <v>162</v>
      </c>
      <c r="F15" s="25">
        <f t="shared" si="4"/>
        <v>281</v>
      </c>
      <c r="G15" s="25">
        <v>0</v>
      </c>
      <c r="H15" s="25">
        <v>0</v>
      </c>
      <c r="I15" s="25">
        <v>0</v>
      </c>
      <c r="J15" s="25">
        <f t="shared" si="1"/>
        <v>281</v>
      </c>
      <c r="K15" s="25">
        <v>100</v>
      </c>
      <c r="L15" s="17"/>
      <c r="M15" s="17"/>
      <c r="N15" s="17"/>
      <c r="O15" s="17"/>
      <c r="P15" s="17"/>
      <c r="Q15" s="17"/>
      <c r="R15" s="17"/>
      <c r="S15" s="17"/>
      <c r="T15" s="17"/>
      <c r="U15" s="17"/>
      <c r="V15" s="17"/>
      <c r="W15" s="17"/>
      <c r="X15" s="17"/>
      <c r="Y15" s="17"/>
      <c r="Z15" s="17"/>
    </row>
    <row r="16" spans="1:26" ht="28.5" customHeight="1" x14ac:dyDescent="0.25">
      <c r="A16" s="24" t="s">
        <v>995</v>
      </c>
      <c r="B16" s="11" t="s">
        <v>996</v>
      </c>
      <c r="C16" s="32" t="s">
        <v>89</v>
      </c>
      <c r="D16" s="25">
        <v>2</v>
      </c>
      <c r="E16" s="25">
        <v>248</v>
      </c>
      <c r="F16" s="25">
        <f t="shared" si="4"/>
        <v>250</v>
      </c>
      <c r="G16" s="25">
        <v>2</v>
      </c>
      <c r="H16" s="25">
        <v>271</v>
      </c>
      <c r="I16" s="25">
        <f>SUM(G16:H16)</f>
        <v>273</v>
      </c>
      <c r="J16" s="25">
        <f t="shared" si="1"/>
        <v>-23</v>
      </c>
      <c r="K16" s="25">
        <f t="shared" ref="K16:K19" si="11">(J16/I16)*100</f>
        <v>-8.4249084249084252</v>
      </c>
      <c r="L16" s="17"/>
      <c r="M16" s="17"/>
      <c r="N16" s="17"/>
      <c r="O16" s="17"/>
      <c r="P16" s="17"/>
      <c r="Q16" s="17"/>
      <c r="R16" s="17"/>
      <c r="S16" s="17"/>
      <c r="T16" s="17"/>
      <c r="U16" s="17"/>
      <c r="V16" s="17"/>
      <c r="W16" s="17"/>
      <c r="X16" s="17"/>
      <c r="Y16" s="17"/>
      <c r="Z16" s="17"/>
    </row>
    <row r="17" spans="1:26" ht="28.5" customHeight="1" x14ac:dyDescent="0.25">
      <c r="A17" s="24" t="s">
        <v>997</v>
      </c>
      <c r="B17" s="24" t="s">
        <v>998</v>
      </c>
      <c r="C17" s="32" t="s">
        <v>89</v>
      </c>
      <c r="D17" s="25">
        <v>7</v>
      </c>
      <c r="E17" s="25">
        <v>207</v>
      </c>
      <c r="F17" s="25">
        <f t="shared" si="4"/>
        <v>214</v>
      </c>
      <c r="G17" s="25">
        <v>6</v>
      </c>
      <c r="H17" s="25">
        <v>242</v>
      </c>
      <c r="I17" s="25">
        <v>249</v>
      </c>
      <c r="J17" s="25">
        <f t="shared" si="1"/>
        <v>-35</v>
      </c>
      <c r="K17" s="25">
        <f t="shared" si="11"/>
        <v>-14.056224899598394</v>
      </c>
      <c r="L17" s="17"/>
      <c r="M17" s="17"/>
      <c r="N17" s="17"/>
      <c r="O17" s="17"/>
      <c r="P17" s="17"/>
      <c r="Q17" s="17"/>
      <c r="R17" s="17"/>
      <c r="S17" s="17"/>
      <c r="T17" s="17"/>
      <c r="U17" s="17"/>
      <c r="V17" s="17"/>
      <c r="W17" s="17"/>
      <c r="X17" s="17"/>
      <c r="Y17" s="17"/>
      <c r="Z17" s="17"/>
    </row>
    <row r="18" spans="1:26" ht="28.5" customHeight="1" x14ac:dyDescent="0.25">
      <c r="A18" s="24" t="s">
        <v>999</v>
      </c>
      <c r="B18" s="24" t="s">
        <v>658</v>
      </c>
      <c r="C18" s="32" t="s">
        <v>89</v>
      </c>
      <c r="D18" s="25">
        <v>9</v>
      </c>
      <c r="E18" s="25">
        <v>202</v>
      </c>
      <c r="F18" s="25">
        <f t="shared" si="4"/>
        <v>211</v>
      </c>
      <c r="G18" s="25">
        <v>30</v>
      </c>
      <c r="H18" s="25">
        <v>233</v>
      </c>
      <c r="I18" s="25">
        <f t="shared" ref="I18:I19" si="12">SUM(G18:H18)</f>
        <v>263</v>
      </c>
      <c r="J18" s="25">
        <f t="shared" si="1"/>
        <v>-52</v>
      </c>
      <c r="K18" s="25">
        <f t="shared" si="11"/>
        <v>-19.771863117870723</v>
      </c>
      <c r="L18" s="17"/>
      <c r="M18" s="17"/>
      <c r="N18" s="17"/>
      <c r="O18" s="17"/>
      <c r="P18" s="17"/>
      <c r="Q18" s="17"/>
      <c r="R18" s="17"/>
      <c r="S18" s="17"/>
      <c r="T18" s="17"/>
      <c r="U18" s="17"/>
      <c r="V18" s="17"/>
      <c r="W18" s="17"/>
      <c r="X18" s="17"/>
      <c r="Y18" s="17"/>
      <c r="Z18" s="17"/>
    </row>
    <row r="19" spans="1:26" ht="28.5" customHeight="1" x14ac:dyDescent="0.25">
      <c r="A19" s="24" t="s">
        <v>1000</v>
      </c>
      <c r="B19" s="24" t="s">
        <v>1001</v>
      </c>
      <c r="C19" s="32" t="s">
        <v>89</v>
      </c>
      <c r="D19" s="49">
        <v>46</v>
      </c>
      <c r="E19" s="49">
        <v>106</v>
      </c>
      <c r="F19" s="25">
        <f t="shared" si="4"/>
        <v>152</v>
      </c>
      <c r="G19" s="49">
        <v>92</v>
      </c>
      <c r="H19" s="25">
        <v>165</v>
      </c>
      <c r="I19" s="25">
        <f t="shared" si="12"/>
        <v>257</v>
      </c>
      <c r="J19" s="25">
        <f t="shared" si="1"/>
        <v>-105</v>
      </c>
      <c r="K19" s="25">
        <f t="shared" si="11"/>
        <v>-40.856031128404666</v>
      </c>
      <c r="L19" s="17"/>
      <c r="M19" s="17"/>
      <c r="N19" s="17"/>
      <c r="O19" s="17"/>
      <c r="P19" s="17"/>
      <c r="Q19" s="17"/>
      <c r="R19" s="17"/>
      <c r="S19" s="17"/>
      <c r="T19" s="17"/>
      <c r="U19" s="17"/>
      <c r="V19" s="17"/>
      <c r="W19" s="17"/>
      <c r="X19" s="17"/>
      <c r="Y19" s="17"/>
      <c r="Z19" s="17"/>
    </row>
    <row r="20" spans="1:26" ht="28.5" customHeight="1" x14ac:dyDescent="0.25">
      <c r="A20" s="24" t="s">
        <v>1002</v>
      </c>
      <c r="B20" s="24" t="s">
        <v>1003</v>
      </c>
      <c r="C20" s="32" t="s">
        <v>89</v>
      </c>
      <c r="D20" s="49">
        <v>74</v>
      </c>
      <c r="E20" s="49">
        <v>56</v>
      </c>
      <c r="F20" s="25">
        <f t="shared" si="4"/>
        <v>130</v>
      </c>
      <c r="G20" s="25">
        <v>0</v>
      </c>
      <c r="H20" s="25">
        <v>0</v>
      </c>
      <c r="I20" s="25">
        <v>0</v>
      </c>
      <c r="J20" s="25">
        <f t="shared" si="1"/>
        <v>130</v>
      </c>
      <c r="K20" s="25">
        <v>100</v>
      </c>
      <c r="L20" s="17"/>
      <c r="M20" s="17"/>
      <c r="N20" s="17"/>
      <c r="O20" s="17"/>
      <c r="P20" s="17"/>
      <c r="Q20" s="17"/>
      <c r="R20" s="17"/>
      <c r="S20" s="17"/>
      <c r="T20" s="17"/>
      <c r="U20" s="17"/>
      <c r="V20" s="17"/>
      <c r="W20" s="17"/>
      <c r="X20" s="17"/>
      <c r="Y20" s="17"/>
      <c r="Z20" s="17"/>
    </row>
    <row r="21" spans="1:26" ht="28.5" customHeight="1" x14ac:dyDescent="0.25">
      <c r="A21" s="30" t="s">
        <v>1004</v>
      </c>
      <c r="B21" s="30"/>
      <c r="C21" s="30"/>
      <c r="D21" s="22">
        <f t="shared" ref="D21:E21" si="13">D13+D14+D15+D16+D17+D18+D19+D20</f>
        <v>882</v>
      </c>
      <c r="E21" s="22">
        <f t="shared" si="13"/>
        <v>1883</v>
      </c>
      <c r="F21" s="22">
        <f t="shared" si="4"/>
        <v>2765</v>
      </c>
      <c r="G21" s="22">
        <f t="shared" ref="G21:I21" si="14">SUM(G19)</f>
        <v>92</v>
      </c>
      <c r="H21" s="22">
        <f t="shared" si="14"/>
        <v>165</v>
      </c>
      <c r="I21" s="22">
        <f t="shared" si="14"/>
        <v>257</v>
      </c>
      <c r="J21" s="22">
        <f t="shared" si="1"/>
        <v>2508</v>
      </c>
      <c r="K21" s="22">
        <f t="shared" ref="K21:K55" si="15">(J21/I21)*100</f>
        <v>975.87548638132307</v>
      </c>
      <c r="L21" s="17"/>
      <c r="M21" s="17"/>
      <c r="N21" s="17"/>
      <c r="O21" s="17"/>
      <c r="P21" s="17"/>
      <c r="Q21" s="17"/>
      <c r="R21" s="17"/>
      <c r="S21" s="17"/>
      <c r="T21" s="17"/>
      <c r="U21" s="17"/>
      <c r="V21" s="17"/>
      <c r="W21" s="17"/>
      <c r="X21" s="17"/>
      <c r="Y21" s="17"/>
      <c r="Z21" s="17"/>
    </row>
    <row r="22" spans="1:26" ht="28.5" customHeight="1" x14ac:dyDescent="0.25">
      <c r="A22" s="24" t="s">
        <v>1005</v>
      </c>
      <c r="B22" s="24" t="s">
        <v>849</v>
      </c>
      <c r="C22" s="24" t="s">
        <v>43</v>
      </c>
      <c r="D22" s="25">
        <v>0</v>
      </c>
      <c r="E22" s="25">
        <v>838</v>
      </c>
      <c r="F22" s="25">
        <f t="shared" si="4"/>
        <v>838</v>
      </c>
      <c r="G22" s="25">
        <v>0</v>
      </c>
      <c r="H22" s="25">
        <v>830</v>
      </c>
      <c r="I22" s="25">
        <f t="shared" ref="I22:I23" si="16">SUM(G22:H22)</f>
        <v>830</v>
      </c>
      <c r="J22" s="25">
        <f t="shared" si="1"/>
        <v>8</v>
      </c>
      <c r="K22" s="25">
        <f t="shared" si="15"/>
        <v>0.96385542168674709</v>
      </c>
      <c r="L22" s="17"/>
      <c r="M22" s="17"/>
      <c r="N22" s="17"/>
      <c r="O22" s="17"/>
      <c r="P22" s="17"/>
      <c r="Q22" s="17"/>
      <c r="R22" s="17"/>
      <c r="S22" s="17"/>
      <c r="T22" s="17"/>
      <c r="U22" s="17"/>
      <c r="V22" s="17"/>
      <c r="W22" s="17"/>
      <c r="X22" s="17"/>
      <c r="Y22" s="17"/>
      <c r="Z22" s="17"/>
    </row>
    <row r="23" spans="1:26" ht="28.5" customHeight="1" x14ac:dyDescent="0.25">
      <c r="A23" s="24" t="s">
        <v>1006</v>
      </c>
      <c r="B23" s="24" t="s">
        <v>1007</v>
      </c>
      <c r="C23" s="24" t="s">
        <v>43</v>
      </c>
      <c r="D23" s="25">
        <v>0</v>
      </c>
      <c r="E23" s="25">
        <v>330</v>
      </c>
      <c r="F23" s="25">
        <f t="shared" si="4"/>
        <v>330</v>
      </c>
      <c r="G23" s="25">
        <v>0</v>
      </c>
      <c r="H23" s="25">
        <v>411</v>
      </c>
      <c r="I23" s="25">
        <f t="shared" si="16"/>
        <v>411</v>
      </c>
      <c r="J23" s="25">
        <f t="shared" si="1"/>
        <v>-81</v>
      </c>
      <c r="K23" s="25">
        <f t="shared" si="15"/>
        <v>-19.708029197080293</v>
      </c>
      <c r="L23" s="17"/>
      <c r="M23" s="17"/>
      <c r="N23" s="17"/>
      <c r="O23" s="17"/>
      <c r="P23" s="17"/>
      <c r="Q23" s="17"/>
      <c r="R23" s="17"/>
      <c r="S23" s="17"/>
      <c r="T23" s="17"/>
      <c r="U23" s="17"/>
      <c r="V23" s="17"/>
      <c r="W23" s="17"/>
      <c r="X23" s="17"/>
      <c r="Y23" s="17"/>
      <c r="Z23" s="17"/>
    </row>
    <row r="24" spans="1:26" ht="28.5" customHeight="1" x14ac:dyDescent="0.25">
      <c r="A24" s="30" t="s">
        <v>626</v>
      </c>
      <c r="B24" s="30"/>
      <c r="C24" s="31" t="s">
        <v>43</v>
      </c>
      <c r="D24" s="22">
        <v>0</v>
      </c>
      <c r="E24" s="22">
        <f>E22+E23</f>
        <v>1168</v>
      </c>
      <c r="F24" s="22">
        <f t="shared" si="4"/>
        <v>1168</v>
      </c>
      <c r="G24" s="22">
        <f t="shared" ref="G24:I24" si="17">SUM(G23)</f>
        <v>0</v>
      </c>
      <c r="H24" s="22">
        <f t="shared" si="17"/>
        <v>411</v>
      </c>
      <c r="I24" s="22">
        <f t="shared" si="17"/>
        <v>411</v>
      </c>
      <c r="J24" s="22">
        <f t="shared" si="1"/>
        <v>757</v>
      </c>
      <c r="K24" s="22">
        <f t="shared" si="15"/>
        <v>184.18491484184915</v>
      </c>
      <c r="L24" s="17"/>
      <c r="M24" s="17"/>
      <c r="N24" s="17"/>
      <c r="O24" s="17"/>
      <c r="P24" s="17"/>
      <c r="Q24" s="17"/>
      <c r="R24" s="17"/>
      <c r="S24" s="17"/>
      <c r="T24" s="17"/>
      <c r="U24" s="17"/>
      <c r="V24" s="17"/>
      <c r="W24" s="17"/>
      <c r="X24" s="17"/>
      <c r="Y24" s="17"/>
      <c r="Z24" s="17"/>
    </row>
    <row r="25" spans="1:26" ht="28.5" customHeight="1" x14ac:dyDescent="0.25">
      <c r="A25" s="49" t="s">
        <v>1008</v>
      </c>
      <c r="B25" s="24" t="s">
        <v>1009</v>
      </c>
      <c r="C25" s="24" t="s">
        <v>62</v>
      </c>
      <c r="D25" s="25">
        <v>81</v>
      </c>
      <c r="E25" s="25">
        <v>247</v>
      </c>
      <c r="F25" s="25">
        <f t="shared" si="4"/>
        <v>328</v>
      </c>
      <c r="G25" s="25">
        <v>92</v>
      </c>
      <c r="H25" s="25">
        <v>214</v>
      </c>
      <c r="I25" s="25">
        <v>306</v>
      </c>
      <c r="J25" s="25">
        <f t="shared" si="1"/>
        <v>22</v>
      </c>
      <c r="K25" s="25">
        <f t="shared" si="15"/>
        <v>7.18954248366013</v>
      </c>
      <c r="L25" s="17"/>
      <c r="M25" s="17"/>
      <c r="N25" s="17"/>
      <c r="O25" s="17"/>
      <c r="P25" s="17"/>
      <c r="Q25" s="17"/>
      <c r="R25" s="17"/>
      <c r="S25" s="17"/>
      <c r="T25" s="17"/>
      <c r="U25" s="17"/>
      <c r="V25" s="17"/>
      <c r="W25" s="17"/>
      <c r="X25" s="17"/>
      <c r="Y25" s="17"/>
      <c r="Z25" s="17"/>
    </row>
    <row r="26" spans="1:26" ht="28.5" customHeight="1" x14ac:dyDescent="0.25">
      <c r="A26" s="30" t="s">
        <v>633</v>
      </c>
      <c r="B26" s="30"/>
      <c r="C26" s="31" t="s">
        <v>62</v>
      </c>
      <c r="D26" s="22">
        <v>81</v>
      </c>
      <c r="E26" s="22">
        <v>247</v>
      </c>
      <c r="F26" s="22">
        <f t="shared" si="4"/>
        <v>328</v>
      </c>
      <c r="G26" s="22">
        <v>92</v>
      </c>
      <c r="H26" s="22">
        <v>214</v>
      </c>
      <c r="I26" s="22">
        <v>306</v>
      </c>
      <c r="J26" s="22">
        <f t="shared" si="1"/>
        <v>22</v>
      </c>
      <c r="K26" s="22">
        <f t="shared" si="15"/>
        <v>7.18954248366013</v>
      </c>
      <c r="L26" s="17"/>
      <c r="M26" s="17"/>
      <c r="N26" s="17"/>
      <c r="O26" s="17"/>
      <c r="P26" s="17"/>
      <c r="Q26" s="17"/>
      <c r="R26" s="17"/>
      <c r="S26" s="17"/>
      <c r="T26" s="17"/>
      <c r="U26" s="17"/>
      <c r="V26" s="17"/>
      <c r="W26" s="17"/>
      <c r="X26" s="17"/>
      <c r="Y26" s="17"/>
      <c r="Z26" s="17"/>
    </row>
    <row r="27" spans="1:26" ht="28.5" customHeight="1" x14ac:dyDescent="0.25">
      <c r="A27" s="24" t="s">
        <v>1010</v>
      </c>
      <c r="B27" s="24" t="s">
        <v>1011</v>
      </c>
      <c r="C27" s="24" t="s">
        <v>89</v>
      </c>
      <c r="D27" s="25">
        <v>326</v>
      </c>
      <c r="E27" s="25">
        <v>531</v>
      </c>
      <c r="F27" s="25">
        <f t="shared" si="4"/>
        <v>857</v>
      </c>
      <c r="G27" s="25">
        <v>398</v>
      </c>
      <c r="H27" s="25">
        <v>576</v>
      </c>
      <c r="I27" s="25">
        <v>975</v>
      </c>
      <c r="J27" s="25">
        <f t="shared" si="1"/>
        <v>-118</v>
      </c>
      <c r="K27" s="25">
        <f t="shared" si="15"/>
        <v>-12.102564102564102</v>
      </c>
      <c r="L27" s="17"/>
      <c r="M27" s="17"/>
      <c r="N27" s="17"/>
      <c r="O27" s="17"/>
      <c r="P27" s="17"/>
      <c r="Q27" s="17"/>
      <c r="R27" s="17"/>
      <c r="S27" s="17"/>
      <c r="T27" s="17"/>
      <c r="U27" s="17"/>
      <c r="V27" s="17"/>
      <c r="W27" s="17"/>
      <c r="X27" s="17"/>
      <c r="Y27" s="17"/>
      <c r="Z27" s="17"/>
    </row>
    <row r="28" spans="1:26" ht="28.5" customHeight="1" x14ac:dyDescent="0.25">
      <c r="A28" s="24" t="s">
        <v>1012</v>
      </c>
      <c r="B28" s="24" t="s">
        <v>1013</v>
      </c>
      <c r="C28" s="24" t="s">
        <v>89</v>
      </c>
      <c r="D28" s="25">
        <v>60</v>
      </c>
      <c r="E28" s="25">
        <v>107</v>
      </c>
      <c r="F28" s="25">
        <f t="shared" si="4"/>
        <v>167</v>
      </c>
      <c r="G28" s="25">
        <v>118</v>
      </c>
      <c r="H28" s="25">
        <v>252</v>
      </c>
      <c r="I28" s="25">
        <f>SUM(G28:H28)</f>
        <v>370</v>
      </c>
      <c r="J28" s="25">
        <f t="shared" si="1"/>
        <v>-203</v>
      </c>
      <c r="K28" s="25">
        <f t="shared" si="15"/>
        <v>-54.864864864864856</v>
      </c>
      <c r="L28" s="17"/>
      <c r="M28" s="17"/>
      <c r="N28" s="17"/>
      <c r="O28" s="17"/>
      <c r="P28" s="17"/>
      <c r="Q28" s="17"/>
      <c r="R28" s="17"/>
      <c r="S28" s="17"/>
      <c r="T28" s="17"/>
      <c r="U28" s="17"/>
      <c r="V28" s="17"/>
      <c r="W28" s="17"/>
      <c r="X28" s="17"/>
      <c r="Y28" s="17"/>
      <c r="Z28" s="17"/>
    </row>
    <row r="29" spans="1:26" ht="28.5" customHeight="1" x14ac:dyDescent="0.25">
      <c r="A29" s="30" t="s">
        <v>1014</v>
      </c>
      <c r="B29" s="30"/>
      <c r="C29" s="31" t="s">
        <v>89</v>
      </c>
      <c r="D29" s="22">
        <f t="shared" ref="D29:E29" si="18">D27+D28</f>
        <v>386</v>
      </c>
      <c r="E29" s="22">
        <f t="shared" si="18"/>
        <v>638</v>
      </c>
      <c r="F29" s="22">
        <f t="shared" si="4"/>
        <v>1024</v>
      </c>
      <c r="G29" s="22">
        <f t="shared" ref="G29:I29" si="19">SUM(G27:G28)</f>
        <v>516</v>
      </c>
      <c r="H29" s="22">
        <f t="shared" si="19"/>
        <v>828</v>
      </c>
      <c r="I29" s="22">
        <f t="shared" si="19"/>
        <v>1345</v>
      </c>
      <c r="J29" s="22">
        <f t="shared" si="1"/>
        <v>-321</v>
      </c>
      <c r="K29" s="22">
        <f t="shared" si="15"/>
        <v>-23.866171003717472</v>
      </c>
      <c r="L29" s="17"/>
      <c r="M29" s="17"/>
      <c r="N29" s="17"/>
      <c r="O29" s="17"/>
      <c r="P29" s="17"/>
      <c r="Q29" s="17"/>
      <c r="R29" s="17"/>
      <c r="S29" s="17"/>
      <c r="T29" s="17"/>
      <c r="U29" s="17"/>
      <c r="V29" s="17"/>
      <c r="W29" s="17"/>
      <c r="X29" s="17"/>
      <c r="Y29" s="17"/>
      <c r="Z29" s="17"/>
    </row>
    <row r="30" spans="1:26" ht="28.5" customHeight="1" x14ac:dyDescent="0.25">
      <c r="A30" s="24" t="s">
        <v>1015</v>
      </c>
      <c r="B30" s="24" t="s">
        <v>339</v>
      </c>
      <c r="C30" s="24" t="s">
        <v>129</v>
      </c>
      <c r="D30" s="49">
        <v>-1</v>
      </c>
      <c r="E30" s="49">
        <v>483</v>
      </c>
      <c r="F30" s="25">
        <f t="shared" si="4"/>
        <v>482</v>
      </c>
      <c r="G30" s="49">
        <v>14</v>
      </c>
      <c r="H30" s="25">
        <v>575</v>
      </c>
      <c r="I30" s="25">
        <v>590</v>
      </c>
      <c r="J30" s="25">
        <f t="shared" si="1"/>
        <v>-108</v>
      </c>
      <c r="K30" s="25">
        <f t="shared" si="15"/>
        <v>-18.305084745762713</v>
      </c>
      <c r="L30" s="17"/>
      <c r="M30" s="16"/>
      <c r="N30" s="17"/>
      <c r="O30" s="17"/>
      <c r="P30" s="17"/>
      <c r="Q30" s="17"/>
      <c r="R30" s="17"/>
      <c r="S30" s="17"/>
      <c r="T30" s="17"/>
      <c r="U30" s="17"/>
      <c r="V30" s="17"/>
      <c r="W30" s="17"/>
      <c r="X30" s="17"/>
      <c r="Y30" s="17"/>
      <c r="Z30" s="17"/>
    </row>
    <row r="31" spans="1:26" ht="28.5" customHeight="1" x14ac:dyDescent="0.25">
      <c r="A31" s="24" t="s">
        <v>1016</v>
      </c>
      <c r="B31" s="24" t="s">
        <v>1017</v>
      </c>
      <c r="C31" s="24" t="s">
        <v>129</v>
      </c>
      <c r="D31" s="25">
        <v>12</v>
      </c>
      <c r="E31" s="25">
        <v>171</v>
      </c>
      <c r="F31" s="25">
        <f t="shared" si="4"/>
        <v>183</v>
      </c>
      <c r="G31" s="25">
        <v>16</v>
      </c>
      <c r="H31" s="25">
        <v>269</v>
      </c>
      <c r="I31" s="25">
        <f t="shared" ref="I31:I33" si="20">SUM(G31:H31)</f>
        <v>285</v>
      </c>
      <c r="J31" s="25">
        <f t="shared" si="1"/>
        <v>-102</v>
      </c>
      <c r="K31" s="25">
        <f t="shared" si="15"/>
        <v>-35.789473684210527</v>
      </c>
      <c r="L31" s="17"/>
      <c r="M31" s="17"/>
      <c r="N31" s="17"/>
      <c r="O31" s="17"/>
      <c r="P31" s="17"/>
      <c r="Q31" s="17"/>
      <c r="R31" s="17"/>
      <c r="S31" s="17"/>
      <c r="T31" s="17"/>
      <c r="U31" s="17"/>
      <c r="V31" s="17"/>
      <c r="W31" s="17"/>
      <c r="X31" s="17"/>
      <c r="Y31" s="17"/>
      <c r="Z31" s="17"/>
    </row>
    <row r="32" spans="1:26" ht="28.5" customHeight="1" x14ac:dyDescent="0.25">
      <c r="A32" s="24" t="s">
        <v>1018</v>
      </c>
      <c r="B32" s="24" t="s">
        <v>1019</v>
      </c>
      <c r="C32" s="24" t="s">
        <v>129</v>
      </c>
      <c r="D32" s="25">
        <v>0</v>
      </c>
      <c r="E32" s="25">
        <v>453</v>
      </c>
      <c r="F32" s="25">
        <f t="shared" si="4"/>
        <v>453</v>
      </c>
      <c r="G32" s="25">
        <v>0</v>
      </c>
      <c r="H32" s="25">
        <v>391</v>
      </c>
      <c r="I32" s="25">
        <f t="shared" si="20"/>
        <v>391</v>
      </c>
      <c r="J32" s="25">
        <f t="shared" si="1"/>
        <v>62</v>
      </c>
      <c r="K32" s="25">
        <f t="shared" si="15"/>
        <v>15.856777493606138</v>
      </c>
      <c r="L32" s="17"/>
      <c r="M32" s="17"/>
      <c r="N32" s="17"/>
      <c r="O32" s="17"/>
      <c r="P32" s="17"/>
      <c r="Q32" s="17"/>
      <c r="R32" s="17"/>
      <c r="S32" s="17"/>
      <c r="T32" s="17"/>
      <c r="U32" s="17"/>
      <c r="V32" s="17"/>
      <c r="W32" s="17"/>
      <c r="X32" s="17"/>
      <c r="Y32" s="17"/>
      <c r="Z32" s="17"/>
    </row>
    <row r="33" spans="1:26" ht="28.5" customHeight="1" x14ac:dyDescent="0.25">
      <c r="A33" s="24" t="s">
        <v>329</v>
      </c>
      <c r="B33" s="24" t="s">
        <v>330</v>
      </c>
      <c r="C33" s="24" t="s">
        <v>129</v>
      </c>
      <c r="D33" s="24">
        <v>259</v>
      </c>
      <c r="E33" s="24">
        <f>220+22</f>
        <v>242</v>
      </c>
      <c r="F33" s="25">
        <f t="shared" si="4"/>
        <v>501</v>
      </c>
      <c r="G33" s="24">
        <v>0</v>
      </c>
      <c r="H33" s="24">
        <v>419</v>
      </c>
      <c r="I33" s="25">
        <f t="shared" si="20"/>
        <v>419</v>
      </c>
      <c r="J33" s="25">
        <f t="shared" si="1"/>
        <v>82</v>
      </c>
      <c r="K33" s="25">
        <f t="shared" si="15"/>
        <v>19.570405727923628</v>
      </c>
      <c r="L33" s="17"/>
      <c r="M33" s="17"/>
      <c r="N33" s="17"/>
      <c r="O33" s="17"/>
      <c r="P33" s="17"/>
      <c r="Q33" s="17"/>
      <c r="R33" s="17"/>
      <c r="S33" s="17"/>
      <c r="T33" s="17"/>
      <c r="U33" s="17"/>
      <c r="V33" s="17"/>
      <c r="W33" s="17"/>
      <c r="X33" s="17"/>
      <c r="Y33" s="17"/>
      <c r="Z33" s="17"/>
    </row>
    <row r="34" spans="1:26" ht="28.5" customHeight="1" x14ac:dyDescent="0.25">
      <c r="A34" s="30" t="s">
        <v>1020</v>
      </c>
      <c r="B34" s="30"/>
      <c r="C34" s="31" t="s">
        <v>129</v>
      </c>
      <c r="D34" s="22">
        <f t="shared" ref="D34:E34" si="21">D30+D31+D32+D33</f>
        <v>270</v>
      </c>
      <c r="E34" s="22">
        <f t="shared" si="21"/>
        <v>1349</v>
      </c>
      <c r="F34" s="22">
        <f t="shared" si="4"/>
        <v>1619</v>
      </c>
      <c r="G34" s="22">
        <f t="shared" ref="G34:I34" si="22">SUM(G30:G33)</f>
        <v>30</v>
      </c>
      <c r="H34" s="22">
        <f t="shared" si="22"/>
        <v>1654</v>
      </c>
      <c r="I34" s="22">
        <f t="shared" si="22"/>
        <v>1685</v>
      </c>
      <c r="J34" s="22">
        <f t="shared" si="1"/>
        <v>-66</v>
      </c>
      <c r="K34" s="22">
        <f t="shared" si="15"/>
        <v>-3.9169139465875373</v>
      </c>
      <c r="L34" s="17"/>
      <c r="M34" s="17"/>
      <c r="N34" s="17"/>
      <c r="O34" s="17"/>
      <c r="P34" s="17"/>
      <c r="Q34" s="17"/>
      <c r="R34" s="17"/>
      <c r="S34" s="17"/>
      <c r="T34" s="17"/>
      <c r="U34" s="17"/>
      <c r="V34" s="17"/>
      <c r="W34" s="17"/>
      <c r="X34" s="17"/>
      <c r="Y34" s="17"/>
      <c r="Z34" s="17"/>
    </row>
    <row r="35" spans="1:26" ht="28.5" customHeight="1" x14ac:dyDescent="0.25">
      <c r="A35" s="24" t="s">
        <v>1021</v>
      </c>
      <c r="B35" s="24" t="s">
        <v>1022</v>
      </c>
      <c r="C35" s="24" t="s">
        <v>201</v>
      </c>
      <c r="D35" s="25">
        <v>1470</v>
      </c>
      <c r="E35" s="25">
        <v>1836</v>
      </c>
      <c r="F35" s="25">
        <f t="shared" si="4"/>
        <v>3306</v>
      </c>
      <c r="G35" s="25">
        <v>1724</v>
      </c>
      <c r="H35" s="25">
        <v>1758</v>
      </c>
      <c r="I35" s="25">
        <f t="shared" ref="I35:I36" si="23">SUM(G35:H35)</f>
        <v>3482</v>
      </c>
      <c r="J35" s="25">
        <f t="shared" si="1"/>
        <v>-176</v>
      </c>
      <c r="K35" s="25">
        <f t="shared" si="15"/>
        <v>-5.0545663411832278</v>
      </c>
      <c r="L35" s="17"/>
      <c r="M35" s="17"/>
      <c r="N35" s="17"/>
      <c r="O35" s="17"/>
      <c r="P35" s="17"/>
      <c r="Q35" s="17"/>
      <c r="R35" s="17"/>
      <c r="S35" s="17"/>
      <c r="T35" s="17"/>
      <c r="U35" s="17"/>
      <c r="V35" s="17"/>
      <c r="W35" s="17"/>
      <c r="X35" s="17"/>
      <c r="Y35" s="17"/>
      <c r="Z35" s="17"/>
    </row>
    <row r="36" spans="1:26" ht="28.5" customHeight="1" x14ac:dyDescent="0.25">
      <c r="A36" s="24" t="s">
        <v>1023</v>
      </c>
      <c r="B36" s="24" t="s">
        <v>1024</v>
      </c>
      <c r="C36" s="24" t="s">
        <v>201</v>
      </c>
      <c r="D36" s="25">
        <v>477</v>
      </c>
      <c r="E36" s="25">
        <v>1494</v>
      </c>
      <c r="F36" s="25">
        <f t="shared" si="4"/>
        <v>1971</v>
      </c>
      <c r="G36" s="25">
        <v>589</v>
      </c>
      <c r="H36" s="25">
        <v>1452</v>
      </c>
      <c r="I36" s="25">
        <f t="shared" si="23"/>
        <v>2041</v>
      </c>
      <c r="J36" s="25">
        <f t="shared" si="1"/>
        <v>-70</v>
      </c>
      <c r="K36" s="25">
        <f t="shared" si="15"/>
        <v>-3.4296913277805001</v>
      </c>
      <c r="L36" s="17"/>
      <c r="M36" s="17"/>
      <c r="N36" s="17"/>
      <c r="O36" s="17"/>
      <c r="P36" s="17"/>
      <c r="Q36" s="17"/>
      <c r="R36" s="17"/>
      <c r="S36" s="17"/>
      <c r="T36" s="17"/>
      <c r="U36" s="17"/>
      <c r="V36" s="17"/>
      <c r="W36" s="17"/>
      <c r="X36" s="17"/>
      <c r="Y36" s="17"/>
      <c r="Z36" s="17"/>
    </row>
    <row r="37" spans="1:26" ht="28.5" customHeight="1" x14ac:dyDescent="0.25">
      <c r="A37" s="30" t="s">
        <v>1025</v>
      </c>
      <c r="B37" s="30"/>
      <c r="C37" s="31" t="s">
        <v>201</v>
      </c>
      <c r="D37" s="22">
        <f t="shared" ref="D37:E37" si="24">D35+D36</f>
        <v>1947</v>
      </c>
      <c r="E37" s="22">
        <f t="shared" si="24"/>
        <v>3330</v>
      </c>
      <c r="F37" s="22">
        <f t="shared" si="4"/>
        <v>5277</v>
      </c>
      <c r="G37" s="22">
        <f t="shared" ref="G37:I37" si="25">SUM(G35:G36)</f>
        <v>2313</v>
      </c>
      <c r="H37" s="22">
        <f t="shared" si="25"/>
        <v>3210</v>
      </c>
      <c r="I37" s="22">
        <f t="shared" si="25"/>
        <v>5523</v>
      </c>
      <c r="J37" s="22">
        <f t="shared" si="1"/>
        <v>-246</v>
      </c>
      <c r="K37" s="22">
        <f t="shared" si="15"/>
        <v>-4.4541010320478005</v>
      </c>
      <c r="L37" s="17"/>
      <c r="M37" s="17"/>
      <c r="N37" s="17"/>
      <c r="O37" s="17"/>
      <c r="P37" s="17"/>
      <c r="Q37" s="17"/>
      <c r="R37" s="17"/>
      <c r="S37" s="17"/>
      <c r="T37" s="17"/>
      <c r="U37" s="17"/>
      <c r="V37" s="17"/>
      <c r="W37" s="17"/>
      <c r="X37" s="17"/>
      <c r="Y37" s="17"/>
      <c r="Z37" s="17"/>
    </row>
    <row r="38" spans="1:26" ht="28.5" customHeight="1" x14ac:dyDescent="0.25">
      <c r="A38" s="24" t="s">
        <v>1026</v>
      </c>
      <c r="B38" s="24" t="s">
        <v>1027</v>
      </c>
      <c r="C38" s="24" t="s">
        <v>84</v>
      </c>
      <c r="D38" s="25">
        <v>488</v>
      </c>
      <c r="E38" s="25">
        <v>192</v>
      </c>
      <c r="F38" s="25">
        <f t="shared" si="4"/>
        <v>680</v>
      </c>
      <c r="G38" s="25">
        <v>568</v>
      </c>
      <c r="H38" s="25">
        <v>219</v>
      </c>
      <c r="I38" s="25">
        <f>SUM(G38:H38)</f>
        <v>787</v>
      </c>
      <c r="J38" s="25">
        <f t="shared" si="1"/>
        <v>-107</v>
      </c>
      <c r="K38" s="25">
        <f t="shared" si="15"/>
        <v>-13.595933926302415</v>
      </c>
      <c r="L38" s="17"/>
      <c r="M38" s="17"/>
      <c r="N38" s="17"/>
      <c r="O38" s="17"/>
      <c r="P38" s="17"/>
      <c r="Q38" s="17"/>
      <c r="R38" s="17"/>
      <c r="S38" s="17"/>
      <c r="T38" s="17"/>
      <c r="U38" s="17"/>
      <c r="V38" s="17"/>
      <c r="W38" s="17"/>
      <c r="X38" s="17"/>
      <c r="Y38" s="17"/>
      <c r="Z38" s="17"/>
    </row>
    <row r="39" spans="1:26" ht="28.5" customHeight="1" x14ac:dyDescent="0.25">
      <c r="A39" s="24" t="s">
        <v>1028</v>
      </c>
      <c r="B39" s="24" t="s">
        <v>1029</v>
      </c>
      <c r="C39" s="24" t="s">
        <v>84</v>
      </c>
      <c r="D39" s="25">
        <v>110</v>
      </c>
      <c r="E39" s="25">
        <v>127</v>
      </c>
      <c r="F39" s="25">
        <f t="shared" si="4"/>
        <v>237</v>
      </c>
      <c r="G39" s="25">
        <v>742</v>
      </c>
      <c r="H39" s="25">
        <v>136</v>
      </c>
      <c r="I39" s="25">
        <v>879</v>
      </c>
      <c r="J39" s="25">
        <f t="shared" si="1"/>
        <v>-642</v>
      </c>
      <c r="K39" s="25">
        <f t="shared" si="15"/>
        <v>-73.037542662116039</v>
      </c>
      <c r="L39" s="17"/>
      <c r="M39" s="17"/>
      <c r="N39" s="17"/>
      <c r="O39" s="17"/>
      <c r="P39" s="17"/>
      <c r="Q39" s="17"/>
      <c r="R39" s="17"/>
      <c r="S39" s="17"/>
      <c r="T39" s="17"/>
      <c r="U39" s="17"/>
      <c r="V39" s="17"/>
      <c r="W39" s="17"/>
      <c r="X39" s="17"/>
      <c r="Y39" s="17"/>
      <c r="Z39" s="17"/>
    </row>
    <row r="40" spans="1:26" ht="28.5" customHeight="1" x14ac:dyDescent="0.25">
      <c r="A40" s="30" t="s">
        <v>86</v>
      </c>
      <c r="B40" s="30"/>
      <c r="C40" s="31" t="s">
        <v>84</v>
      </c>
      <c r="D40" s="22">
        <f t="shared" ref="D40:E40" si="26">D38+D39</f>
        <v>598</v>
      </c>
      <c r="E40" s="22">
        <f t="shared" si="26"/>
        <v>319</v>
      </c>
      <c r="F40" s="22">
        <f t="shared" si="4"/>
        <v>917</v>
      </c>
      <c r="G40" s="22">
        <f t="shared" ref="G40:I40" si="27">SUM(G39)</f>
        <v>742</v>
      </c>
      <c r="H40" s="22">
        <f t="shared" si="27"/>
        <v>136</v>
      </c>
      <c r="I40" s="22">
        <f t="shared" si="27"/>
        <v>879</v>
      </c>
      <c r="J40" s="22">
        <f t="shared" si="1"/>
        <v>38</v>
      </c>
      <c r="K40" s="22">
        <f t="shared" si="15"/>
        <v>4.3230944254835046</v>
      </c>
      <c r="L40" s="17"/>
      <c r="M40" s="17"/>
      <c r="N40" s="17"/>
      <c r="O40" s="17"/>
      <c r="P40" s="17"/>
      <c r="Q40" s="17"/>
      <c r="R40" s="17"/>
      <c r="S40" s="17"/>
      <c r="T40" s="17"/>
      <c r="U40" s="17"/>
      <c r="V40" s="17"/>
      <c r="W40" s="17"/>
      <c r="X40" s="17"/>
      <c r="Y40" s="17"/>
      <c r="Z40" s="17"/>
    </row>
    <row r="41" spans="1:26" ht="28.5" customHeight="1" x14ac:dyDescent="0.25">
      <c r="A41" s="24" t="s">
        <v>1030</v>
      </c>
      <c r="B41" s="24" t="s">
        <v>1031</v>
      </c>
      <c r="C41" s="24" t="s">
        <v>221</v>
      </c>
      <c r="D41" s="25">
        <v>18</v>
      </c>
      <c r="E41" s="25">
        <v>444</v>
      </c>
      <c r="F41" s="25">
        <f t="shared" si="4"/>
        <v>462</v>
      </c>
      <c r="G41" s="25">
        <v>29</v>
      </c>
      <c r="H41" s="25">
        <v>669</v>
      </c>
      <c r="I41" s="25">
        <f t="shared" ref="I41:I46" si="28">SUM(G41:H41)</f>
        <v>698</v>
      </c>
      <c r="J41" s="25">
        <f t="shared" si="1"/>
        <v>-236</v>
      </c>
      <c r="K41" s="25">
        <f t="shared" si="15"/>
        <v>-33.810888252148999</v>
      </c>
      <c r="L41" s="17"/>
      <c r="M41" s="17"/>
      <c r="N41" s="17"/>
      <c r="O41" s="17"/>
      <c r="P41" s="17"/>
      <c r="Q41" s="17"/>
      <c r="R41" s="17"/>
      <c r="S41" s="17"/>
      <c r="T41" s="17"/>
      <c r="U41" s="17"/>
      <c r="V41" s="17"/>
      <c r="W41" s="17"/>
      <c r="X41" s="17"/>
      <c r="Y41" s="17"/>
      <c r="Z41" s="17"/>
    </row>
    <row r="42" spans="1:26" ht="28.5" customHeight="1" x14ac:dyDescent="0.25">
      <c r="A42" s="24" t="s">
        <v>1032</v>
      </c>
      <c r="B42" s="24" t="s">
        <v>1033</v>
      </c>
      <c r="C42" s="24" t="s">
        <v>129</v>
      </c>
      <c r="D42" s="25">
        <v>21</v>
      </c>
      <c r="E42" s="25">
        <v>365</v>
      </c>
      <c r="F42" s="25">
        <f t="shared" si="4"/>
        <v>386</v>
      </c>
      <c r="G42" s="25">
        <v>24</v>
      </c>
      <c r="H42" s="25">
        <v>418</v>
      </c>
      <c r="I42" s="25">
        <f t="shared" si="28"/>
        <v>442</v>
      </c>
      <c r="J42" s="25">
        <f t="shared" si="1"/>
        <v>-56</v>
      </c>
      <c r="K42" s="25">
        <f t="shared" si="15"/>
        <v>-12.669683257918551</v>
      </c>
      <c r="L42" s="45"/>
      <c r="M42" s="45"/>
      <c r="N42" s="45"/>
      <c r="O42" s="45"/>
      <c r="P42" s="45"/>
      <c r="Q42" s="45"/>
      <c r="R42" s="45"/>
      <c r="S42" s="45"/>
      <c r="T42" s="45"/>
      <c r="U42" s="45"/>
      <c r="V42" s="45"/>
      <c r="W42" s="45"/>
      <c r="X42" s="45"/>
      <c r="Y42" s="45"/>
      <c r="Z42" s="45"/>
    </row>
    <row r="43" spans="1:26" ht="28.5" customHeight="1" x14ac:dyDescent="0.25">
      <c r="A43" s="24" t="s">
        <v>1034</v>
      </c>
      <c r="B43" s="24" t="s">
        <v>1035</v>
      </c>
      <c r="C43" s="24" t="s">
        <v>43</v>
      </c>
      <c r="D43" s="25">
        <v>0</v>
      </c>
      <c r="E43" s="25">
        <v>258</v>
      </c>
      <c r="F43" s="25">
        <f t="shared" si="4"/>
        <v>258</v>
      </c>
      <c r="G43" s="25">
        <v>0</v>
      </c>
      <c r="H43" s="25">
        <v>288</v>
      </c>
      <c r="I43" s="25">
        <f t="shared" si="28"/>
        <v>288</v>
      </c>
      <c r="J43" s="25">
        <f t="shared" si="1"/>
        <v>-30</v>
      </c>
      <c r="K43" s="25">
        <f t="shared" si="15"/>
        <v>-10.416666666666668</v>
      </c>
      <c r="L43" s="45"/>
      <c r="M43" s="45"/>
      <c r="N43" s="45"/>
      <c r="O43" s="45"/>
      <c r="P43" s="45"/>
      <c r="Q43" s="45"/>
      <c r="R43" s="45"/>
      <c r="S43" s="45"/>
      <c r="T43" s="45"/>
      <c r="U43" s="45"/>
      <c r="V43" s="45"/>
      <c r="W43" s="45"/>
      <c r="X43" s="45"/>
      <c r="Y43" s="45"/>
      <c r="Z43" s="45"/>
    </row>
    <row r="44" spans="1:26" ht="28.5" customHeight="1" x14ac:dyDescent="0.25">
      <c r="A44" s="24" t="s">
        <v>1036</v>
      </c>
      <c r="B44" s="24" t="s">
        <v>1037</v>
      </c>
      <c r="C44" s="24" t="s">
        <v>221</v>
      </c>
      <c r="D44" s="25">
        <v>12</v>
      </c>
      <c r="E44" s="25">
        <v>206</v>
      </c>
      <c r="F44" s="25">
        <f t="shared" si="4"/>
        <v>218</v>
      </c>
      <c r="G44" s="25">
        <v>9</v>
      </c>
      <c r="H44" s="25">
        <v>284</v>
      </c>
      <c r="I44" s="25">
        <f t="shared" si="28"/>
        <v>293</v>
      </c>
      <c r="J44" s="25">
        <f t="shared" si="1"/>
        <v>-75</v>
      </c>
      <c r="K44" s="25">
        <f t="shared" si="15"/>
        <v>-25.597269624573375</v>
      </c>
      <c r="L44" s="45"/>
      <c r="M44" s="45"/>
      <c r="N44" s="45"/>
      <c r="O44" s="45"/>
      <c r="P44" s="45"/>
      <c r="Q44" s="45"/>
      <c r="R44" s="45"/>
      <c r="S44" s="45"/>
      <c r="T44" s="45"/>
      <c r="U44" s="45"/>
      <c r="V44" s="45"/>
      <c r="W44" s="45"/>
      <c r="X44" s="45"/>
      <c r="Y44" s="45"/>
      <c r="Z44" s="45"/>
    </row>
    <row r="45" spans="1:26" ht="28.5" customHeight="1" x14ac:dyDescent="0.25">
      <c r="A45" s="32" t="s">
        <v>1038</v>
      </c>
      <c r="B45" s="32" t="s">
        <v>1039</v>
      </c>
      <c r="C45" s="144" t="s">
        <v>81</v>
      </c>
      <c r="D45" s="33">
        <v>84</v>
      </c>
      <c r="E45" s="33">
        <v>109</v>
      </c>
      <c r="F45" s="25">
        <f t="shared" si="4"/>
        <v>193</v>
      </c>
      <c r="G45" s="33">
        <v>103</v>
      </c>
      <c r="H45" s="33">
        <v>138</v>
      </c>
      <c r="I45" s="33">
        <f t="shared" si="28"/>
        <v>241</v>
      </c>
      <c r="J45" s="25">
        <f t="shared" si="1"/>
        <v>-48</v>
      </c>
      <c r="K45" s="25">
        <f t="shared" si="15"/>
        <v>-19.91701244813278</v>
      </c>
      <c r="L45" s="40"/>
      <c r="M45" s="41"/>
      <c r="N45" s="41"/>
      <c r="O45" s="41"/>
      <c r="P45" s="41"/>
      <c r="Q45" s="41"/>
      <c r="R45" s="41"/>
      <c r="S45" s="41"/>
      <c r="T45" s="41"/>
      <c r="U45" s="41"/>
      <c r="V45" s="41"/>
      <c r="W45" s="41"/>
      <c r="X45" s="41"/>
      <c r="Y45" s="41"/>
      <c r="Z45" s="41"/>
    </row>
    <row r="46" spans="1:26" ht="28.5" customHeight="1" x14ac:dyDescent="0.25">
      <c r="A46" s="30" t="s">
        <v>1040</v>
      </c>
      <c r="B46" s="30"/>
      <c r="C46" s="30"/>
      <c r="D46" s="19">
        <f t="shared" ref="D46:E46" si="29">D45+D44+D43+D41+D42</f>
        <v>135</v>
      </c>
      <c r="E46" s="19">
        <f t="shared" si="29"/>
        <v>1382</v>
      </c>
      <c r="F46" s="22">
        <f t="shared" si="4"/>
        <v>1517</v>
      </c>
      <c r="G46" s="19">
        <f t="shared" ref="G46:H46" si="30">SUM(G41:G45)</f>
        <v>165</v>
      </c>
      <c r="H46" s="19">
        <f t="shared" si="30"/>
        <v>1797</v>
      </c>
      <c r="I46" s="19">
        <f t="shared" si="28"/>
        <v>1962</v>
      </c>
      <c r="J46" s="22">
        <f t="shared" si="1"/>
        <v>-445</v>
      </c>
      <c r="K46" s="22">
        <f t="shared" si="15"/>
        <v>-22.680937818552497</v>
      </c>
      <c r="L46" s="45"/>
      <c r="M46" s="45"/>
      <c r="N46" s="45"/>
      <c r="O46" s="45"/>
      <c r="P46" s="45"/>
      <c r="Q46" s="45"/>
      <c r="R46" s="45"/>
      <c r="S46" s="45"/>
      <c r="T46" s="45"/>
      <c r="U46" s="45"/>
      <c r="V46" s="45"/>
      <c r="W46" s="45"/>
      <c r="X46" s="45"/>
      <c r="Y46" s="45"/>
      <c r="Z46" s="45"/>
    </row>
    <row r="47" spans="1:26" ht="28.5" customHeight="1" x14ac:dyDescent="0.25">
      <c r="A47" s="30" t="s">
        <v>1041</v>
      </c>
      <c r="B47" s="162"/>
      <c r="C47" s="162"/>
      <c r="D47" s="19">
        <v>1555</v>
      </c>
      <c r="E47" s="92">
        <v>3152</v>
      </c>
      <c r="F47" s="22">
        <f t="shared" si="4"/>
        <v>4707</v>
      </c>
      <c r="G47" s="92">
        <v>1563</v>
      </c>
      <c r="H47" s="19">
        <v>3343</v>
      </c>
      <c r="I47" s="19">
        <v>4901</v>
      </c>
      <c r="J47" s="22">
        <f t="shared" si="1"/>
        <v>-194</v>
      </c>
      <c r="K47" s="22">
        <f t="shared" si="15"/>
        <v>-3.9583758416649664</v>
      </c>
      <c r="L47" s="17"/>
      <c r="M47" s="17"/>
      <c r="N47" s="17"/>
      <c r="O47" s="17"/>
      <c r="P47" s="17"/>
      <c r="Q47" s="17"/>
      <c r="R47" s="17"/>
      <c r="S47" s="17"/>
      <c r="T47" s="17"/>
      <c r="U47" s="17"/>
      <c r="V47" s="17"/>
      <c r="W47" s="17"/>
      <c r="X47" s="17"/>
      <c r="Y47" s="17"/>
      <c r="Z47" s="17"/>
    </row>
    <row r="48" spans="1:26" ht="28.5" customHeight="1" x14ac:dyDescent="0.25">
      <c r="A48" s="30" t="s">
        <v>164</v>
      </c>
      <c r="B48" s="30"/>
      <c r="C48" s="30"/>
      <c r="D48" s="22">
        <v>19449</v>
      </c>
      <c r="E48" s="22">
        <v>23572</v>
      </c>
      <c r="F48" s="22">
        <f t="shared" si="4"/>
        <v>43021</v>
      </c>
      <c r="G48" s="22">
        <v>18759</v>
      </c>
      <c r="H48" s="22">
        <v>22992</v>
      </c>
      <c r="I48" s="22">
        <f>SUM(G48:H48)</f>
        <v>41751</v>
      </c>
      <c r="J48" s="22">
        <f t="shared" si="1"/>
        <v>1270</v>
      </c>
      <c r="K48" s="22">
        <f t="shared" si="15"/>
        <v>3.0418433091422963</v>
      </c>
      <c r="L48" s="45"/>
      <c r="M48" s="45"/>
      <c r="N48" s="177"/>
      <c r="O48" s="45"/>
      <c r="P48" s="45"/>
      <c r="Q48" s="45"/>
      <c r="R48" s="45"/>
      <c r="S48" s="45"/>
      <c r="T48" s="45"/>
      <c r="U48" s="45"/>
      <c r="V48" s="45"/>
      <c r="W48" s="45"/>
      <c r="X48" s="45"/>
      <c r="Y48" s="45"/>
      <c r="Z48" s="45"/>
    </row>
    <row r="49" spans="1:26" ht="28.5" customHeight="1" x14ac:dyDescent="0.25">
      <c r="A49" s="24" t="s">
        <v>1042</v>
      </c>
      <c r="B49" s="24"/>
      <c r="C49" s="24"/>
      <c r="D49" s="25">
        <v>612</v>
      </c>
      <c r="E49" s="25">
        <v>2327</v>
      </c>
      <c r="F49" s="25">
        <f t="shared" si="4"/>
        <v>2939</v>
      </c>
      <c r="G49" s="25">
        <v>582</v>
      </c>
      <c r="H49" s="25">
        <v>2201</v>
      </c>
      <c r="I49" s="25">
        <v>2784</v>
      </c>
      <c r="J49" s="25">
        <f t="shared" si="1"/>
        <v>155</v>
      </c>
      <c r="K49" s="25">
        <f t="shared" si="15"/>
        <v>5.5675287356321839</v>
      </c>
      <c r="L49" s="17"/>
      <c r="M49" s="17"/>
      <c r="N49" s="16"/>
      <c r="O49" s="17"/>
      <c r="P49" s="17"/>
      <c r="Q49" s="17"/>
      <c r="R49" s="17"/>
      <c r="S49" s="17"/>
      <c r="T49" s="17"/>
      <c r="U49" s="17"/>
      <c r="V49" s="17"/>
      <c r="W49" s="17"/>
      <c r="X49" s="17"/>
      <c r="Y49" s="17"/>
      <c r="Z49" s="17"/>
    </row>
    <row r="50" spans="1:26" ht="28.5" customHeight="1" x14ac:dyDescent="0.25">
      <c r="A50" s="24" t="s">
        <v>1043</v>
      </c>
      <c r="B50" s="24"/>
      <c r="C50" s="24"/>
      <c r="D50" s="25">
        <v>872</v>
      </c>
      <c r="E50" s="25">
        <v>892</v>
      </c>
      <c r="F50" s="25">
        <f t="shared" si="4"/>
        <v>1764</v>
      </c>
      <c r="G50" s="25">
        <v>724</v>
      </c>
      <c r="H50" s="25">
        <v>885</v>
      </c>
      <c r="I50" s="25">
        <f>SUM(G50:H50)</f>
        <v>1609</v>
      </c>
      <c r="J50" s="25">
        <f t="shared" si="1"/>
        <v>155</v>
      </c>
      <c r="K50" s="25">
        <f t="shared" si="15"/>
        <v>9.633312616532006</v>
      </c>
      <c r="L50" s="17"/>
      <c r="M50" s="17"/>
      <c r="N50" s="17"/>
      <c r="O50" s="17"/>
      <c r="P50" s="17"/>
      <c r="Q50" s="17"/>
      <c r="R50" s="17"/>
      <c r="S50" s="17"/>
      <c r="T50" s="17"/>
      <c r="U50" s="17"/>
      <c r="V50" s="17"/>
      <c r="W50" s="17"/>
      <c r="X50" s="17"/>
      <c r="Y50" s="17"/>
      <c r="Z50" s="17"/>
    </row>
    <row r="51" spans="1:26" ht="28.5" customHeight="1" x14ac:dyDescent="0.25">
      <c r="A51" s="30" t="s">
        <v>1044</v>
      </c>
      <c r="B51" s="162"/>
      <c r="C51" s="162"/>
      <c r="D51" s="21">
        <v>1484</v>
      </c>
      <c r="E51" s="21">
        <v>3219</v>
      </c>
      <c r="F51" s="22">
        <f t="shared" si="4"/>
        <v>4703</v>
      </c>
      <c r="G51" s="21">
        <v>1306</v>
      </c>
      <c r="H51" s="22">
        <v>3086</v>
      </c>
      <c r="I51" s="22">
        <v>4393</v>
      </c>
      <c r="J51" s="22">
        <f t="shared" si="1"/>
        <v>310</v>
      </c>
      <c r="K51" s="22">
        <f t="shared" si="15"/>
        <v>7.0566810835419993</v>
      </c>
      <c r="L51" s="17"/>
      <c r="M51" s="17"/>
      <c r="N51" s="17"/>
      <c r="O51" s="17"/>
      <c r="P51" s="17"/>
      <c r="Q51" s="17"/>
      <c r="R51" s="17"/>
      <c r="S51" s="17"/>
      <c r="T51" s="17"/>
      <c r="U51" s="17"/>
      <c r="V51" s="17"/>
      <c r="W51" s="17"/>
      <c r="X51" s="17"/>
      <c r="Y51" s="17"/>
      <c r="Z51" s="17"/>
    </row>
    <row r="52" spans="1:26" ht="28.5" customHeight="1" x14ac:dyDescent="0.25">
      <c r="A52" s="24" t="s">
        <v>1045</v>
      </c>
      <c r="B52" s="24"/>
      <c r="C52" s="24"/>
      <c r="D52" s="13">
        <v>23</v>
      </c>
      <c r="E52" s="13">
        <v>0</v>
      </c>
      <c r="F52" s="25">
        <f t="shared" si="4"/>
        <v>23</v>
      </c>
      <c r="G52" s="13">
        <v>174</v>
      </c>
      <c r="H52" s="25">
        <v>1</v>
      </c>
      <c r="I52" s="25">
        <f>SUM(G52:H52)</f>
        <v>175</v>
      </c>
      <c r="J52" s="25">
        <f t="shared" si="1"/>
        <v>-152</v>
      </c>
      <c r="K52" s="25">
        <f t="shared" si="15"/>
        <v>-86.857142857142861</v>
      </c>
      <c r="L52" s="17"/>
      <c r="M52" s="17"/>
      <c r="N52" s="17"/>
      <c r="O52" s="17"/>
      <c r="P52" s="17"/>
      <c r="Q52" s="17"/>
      <c r="R52" s="17"/>
      <c r="S52" s="17"/>
      <c r="T52" s="17"/>
      <c r="U52" s="17"/>
      <c r="V52" s="17"/>
      <c r="W52" s="17"/>
      <c r="X52" s="17"/>
      <c r="Y52" s="17"/>
      <c r="Z52" s="17"/>
    </row>
    <row r="53" spans="1:26" ht="28.5" customHeight="1" x14ac:dyDescent="0.25">
      <c r="A53" s="30" t="s">
        <v>1046</v>
      </c>
      <c r="B53" s="162"/>
      <c r="C53" s="162"/>
      <c r="D53" s="22">
        <v>20956</v>
      </c>
      <c r="E53" s="22">
        <v>26791</v>
      </c>
      <c r="F53" s="22">
        <f t="shared" si="4"/>
        <v>47747</v>
      </c>
      <c r="G53" s="22">
        <v>20239</v>
      </c>
      <c r="H53" s="22">
        <v>26079</v>
      </c>
      <c r="I53" s="22">
        <v>46319</v>
      </c>
      <c r="J53" s="22">
        <f t="shared" si="1"/>
        <v>1428</v>
      </c>
      <c r="K53" s="22">
        <f t="shared" si="15"/>
        <v>3.0829681124376607</v>
      </c>
      <c r="L53" s="17"/>
      <c r="M53" s="17"/>
      <c r="N53" s="17"/>
      <c r="O53" s="17"/>
      <c r="P53" s="17"/>
      <c r="Q53" s="17"/>
      <c r="R53" s="17"/>
      <c r="S53" s="17"/>
      <c r="T53" s="17"/>
      <c r="U53" s="17"/>
      <c r="V53" s="17"/>
      <c r="W53" s="17"/>
      <c r="X53" s="17"/>
      <c r="Y53" s="17"/>
      <c r="Z53" s="17"/>
    </row>
    <row r="54" spans="1:26" ht="28.5" customHeight="1" x14ac:dyDescent="0.25">
      <c r="A54" s="24" t="s">
        <v>1047</v>
      </c>
      <c r="B54" s="24"/>
      <c r="C54" s="24"/>
      <c r="D54" s="25">
        <v>71</v>
      </c>
      <c r="E54" s="25">
        <v>176</v>
      </c>
      <c r="F54" s="25">
        <f t="shared" si="4"/>
        <v>247</v>
      </c>
      <c r="G54" s="25">
        <v>86</v>
      </c>
      <c r="H54" s="25">
        <v>436</v>
      </c>
      <c r="I54" s="25">
        <v>521</v>
      </c>
      <c r="J54" s="25">
        <f t="shared" si="1"/>
        <v>-274</v>
      </c>
      <c r="K54" s="25">
        <f t="shared" si="15"/>
        <v>-52.591170825335901</v>
      </c>
      <c r="L54" s="17"/>
      <c r="M54" s="17"/>
      <c r="N54" s="17"/>
      <c r="O54" s="17"/>
      <c r="P54" s="17"/>
      <c r="Q54" s="17"/>
      <c r="R54" s="17"/>
      <c r="S54" s="17"/>
      <c r="T54" s="17"/>
      <c r="U54" s="17"/>
      <c r="V54" s="17"/>
      <c r="W54" s="17"/>
      <c r="X54" s="17"/>
      <c r="Y54" s="17"/>
      <c r="Z54" s="17"/>
    </row>
    <row r="55" spans="1:26" ht="28.5" customHeight="1" x14ac:dyDescent="0.25">
      <c r="A55" s="30" t="s">
        <v>38</v>
      </c>
      <c r="B55" s="30"/>
      <c r="C55" s="30"/>
      <c r="D55" s="22">
        <v>21027</v>
      </c>
      <c r="E55" s="22">
        <v>26967</v>
      </c>
      <c r="F55" s="22">
        <f t="shared" si="4"/>
        <v>47994</v>
      </c>
      <c r="G55" s="22">
        <v>20325</v>
      </c>
      <c r="H55" s="22">
        <v>26515</v>
      </c>
      <c r="I55" s="22">
        <f>SUM(G55:H55)</f>
        <v>46840</v>
      </c>
      <c r="J55" s="22">
        <f t="shared" si="1"/>
        <v>1154</v>
      </c>
      <c r="K55" s="22">
        <f t="shared" si="15"/>
        <v>2.4637062339880442</v>
      </c>
      <c r="L55" s="45"/>
      <c r="M55" s="45"/>
      <c r="N55" s="45"/>
      <c r="O55" s="45"/>
      <c r="P55" s="45"/>
      <c r="Q55" s="45"/>
      <c r="R55" s="45"/>
      <c r="S55" s="45"/>
      <c r="T55" s="45"/>
      <c r="U55" s="45"/>
      <c r="V55" s="45"/>
      <c r="W55" s="45"/>
      <c r="X55" s="45"/>
      <c r="Y55" s="45"/>
      <c r="Z55" s="45"/>
    </row>
  </sheetData>
  <pageMargins left="0.7" right="0.7" top="0.75" bottom="0.75" header="0" footer="0"/>
  <pageSetup orientation="portrait"/>
  <ignoredErrors>
    <ignoredError sqref="I4 G29:H29" formulaRange="1"/>
    <ignoredError sqref="I37" 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2A5DB0"/>
  </sheetPr>
  <dimension ref="A1:Z25"/>
  <sheetViews>
    <sheetView workbookViewId="0">
      <pane ySplit="1" topLeftCell="A2" activePane="bottomLeft" state="frozen"/>
      <selection pane="bottomLeft"/>
    </sheetView>
  </sheetViews>
  <sheetFormatPr defaultColWidth="14.44140625" defaultRowHeight="15.75" customHeight="1" x14ac:dyDescent="0.25"/>
  <cols>
    <col min="1" max="1" width="28" customWidth="1"/>
    <col min="2" max="2" width="36.33203125" customWidth="1"/>
    <col min="3" max="3" width="23" customWidth="1"/>
    <col min="4" max="5" width="13.109375" customWidth="1"/>
    <col min="6" max="6" width="15.6640625" customWidth="1"/>
    <col min="7" max="7" width="11.5546875" customWidth="1"/>
    <col min="8" max="23" width="9.109375" customWidth="1"/>
  </cols>
  <sheetData>
    <row r="1" spans="1:26" ht="34.5" customHeight="1" x14ac:dyDescent="0.3">
      <c r="A1" s="28" t="s">
        <v>1770</v>
      </c>
      <c r="B1" s="8" t="s">
        <v>10</v>
      </c>
      <c r="C1" s="8" t="s">
        <v>11</v>
      </c>
      <c r="D1" s="178" t="s">
        <v>1687</v>
      </c>
      <c r="E1" s="178" t="s">
        <v>1688</v>
      </c>
      <c r="F1" s="8" t="s">
        <v>1682</v>
      </c>
      <c r="G1" s="178" t="s">
        <v>1683</v>
      </c>
      <c r="H1" s="57"/>
      <c r="I1" s="57"/>
      <c r="J1" s="57"/>
      <c r="K1" s="57"/>
      <c r="L1" s="57"/>
      <c r="M1" s="57"/>
      <c r="N1" s="57"/>
      <c r="O1" s="57"/>
      <c r="P1" s="57"/>
      <c r="Q1" s="57"/>
      <c r="R1" s="57"/>
      <c r="S1" s="57"/>
      <c r="T1" s="57"/>
      <c r="U1" s="57"/>
      <c r="V1" s="57"/>
      <c r="W1" s="57"/>
      <c r="X1" s="6"/>
      <c r="Y1" s="6"/>
      <c r="Z1" s="6"/>
    </row>
    <row r="2" spans="1:26" ht="28.5" customHeight="1" x14ac:dyDescent="0.3">
      <c r="A2" s="11" t="s">
        <v>1006</v>
      </c>
      <c r="B2" s="24" t="s">
        <v>1007</v>
      </c>
      <c r="C2" s="11" t="s">
        <v>43</v>
      </c>
      <c r="D2" s="51">
        <v>46.4</v>
      </c>
      <c r="E2" s="51">
        <v>55.3</v>
      </c>
      <c r="F2" s="51">
        <f t="shared" ref="F2:F25" si="0">D2-E2</f>
        <v>-8.8999999999999986</v>
      </c>
      <c r="G2" s="51">
        <f t="shared" ref="G2:G9" si="1">(F2/E2)*100</f>
        <v>-16.094032549728752</v>
      </c>
      <c r="H2" s="17"/>
      <c r="I2" s="17"/>
      <c r="J2" s="17"/>
      <c r="K2" s="17"/>
      <c r="L2" s="17"/>
      <c r="M2" s="17"/>
      <c r="N2" s="17"/>
      <c r="O2" s="17"/>
      <c r="P2" s="17"/>
      <c r="Q2" s="17"/>
      <c r="R2" s="17"/>
      <c r="S2" s="17"/>
      <c r="T2" s="17"/>
      <c r="U2" s="17"/>
      <c r="V2" s="17"/>
      <c r="W2" s="17"/>
      <c r="X2" s="158"/>
      <c r="Y2" s="158"/>
      <c r="Z2" s="158"/>
    </row>
    <row r="3" spans="1:26" ht="28.5" customHeight="1" x14ac:dyDescent="0.3">
      <c r="A3" s="24" t="s">
        <v>1005</v>
      </c>
      <c r="B3" s="11" t="s">
        <v>849</v>
      </c>
      <c r="C3" s="11" t="s">
        <v>1049</v>
      </c>
      <c r="D3" s="51">
        <v>42</v>
      </c>
      <c r="E3" s="51">
        <v>40.299999999999997</v>
      </c>
      <c r="F3" s="51">
        <f t="shared" si="0"/>
        <v>1.7000000000000028</v>
      </c>
      <c r="G3" s="51">
        <f t="shared" si="1"/>
        <v>4.2183622828784193</v>
      </c>
      <c r="H3" s="17"/>
      <c r="I3" s="17"/>
      <c r="J3" s="17"/>
      <c r="K3" s="17"/>
      <c r="L3" s="17"/>
      <c r="M3" s="17"/>
      <c r="N3" s="17"/>
      <c r="O3" s="17"/>
      <c r="P3" s="17"/>
      <c r="Q3" s="17"/>
      <c r="R3" s="17"/>
      <c r="S3" s="17"/>
      <c r="T3" s="17"/>
      <c r="U3" s="17"/>
      <c r="V3" s="17"/>
      <c r="W3" s="17"/>
      <c r="X3" s="158"/>
      <c r="Y3" s="158"/>
      <c r="Z3" s="158"/>
    </row>
    <row r="4" spans="1:26" ht="28.5" customHeight="1" x14ac:dyDescent="0.3">
      <c r="A4" s="11" t="s">
        <v>850</v>
      </c>
      <c r="B4" s="11" t="s">
        <v>851</v>
      </c>
      <c r="C4" s="11" t="s">
        <v>1049</v>
      </c>
      <c r="D4" s="51">
        <v>28.8</v>
      </c>
      <c r="E4" s="51">
        <v>25</v>
      </c>
      <c r="F4" s="51">
        <f t="shared" si="0"/>
        <v>3.8000000000000007</v>
      </c>
      <c r="G4" s="51">
        <f t="shared" si="1"/>
        <v>15.200000000000003</v>
      </c>
      <c r="H4" s="17"/>
      <c r="I4" s="17"/>
      <c r="J4" s="17"/>
      <c r="K4" s="17"/>
      <c r="L4" s="17"/>
      <c r="M4" s="17"/>
      <c r="N4" s="17"/>
      <c r="O4" s="17"/>
      <c r="P4" s="17"/>
      <c r="Q4" s="17"/>
      <c r="R4" s="17"/>
      <c r="S4" s="17"/>
      <c r="T4" s="17"/>
      <c r="U4" s="17"/>
      <c r="V4" s="17"/>
      <c r="W4" s="17"/>
      <c r="X4" s="158"/>
      <c r="Y4" s="158"/>
      <c r="Z4" s="158"/>
    </row>
    <row r="5" spans="1:26" ht="28.5" customHeight="1" x14ac:dyDescent="0.3">
      <c r="A5" s="11" t="s">
        <v>508</v>
      </c>
      <c r="B5" s="11" t="s">
        <v>509</v>
      </c>
      <c r="C5" s="11" t="s">
        <v>201</v>
      </c>
      <c r="D5" s="51">
        <v>15</v>
      </c>
      <c r="E5" s="51">
        <v>16</v>
      </c>
      <c r="F5" s="51">
        <f t="shared" si="0"/>
        <v>-1</v>
      </c>
      <c r="G5" s="51">
        <f t="shared" si="1"/>
        <v>-6.25</v>
      </c>
      <c r="H5" s="17"/>
      <c r="I5" s="17"/>
      <c r="J5" s="17"/>
      <c r="K5" s="17"/>
      <c r="L5" s="17"/>
      <c r="M5" s="17"/>
      <c r="N5" s="17"/>
      <c r="O5" s="17"/>
      <c r="P5" s="17"/>
      <c r="Q5" s="17"/>
      <c r="R5" s="17"/>
      <c r="S5" s="17"/>
      <c r="T5" s="17"/>
      <c r="U5" s="17"/>
      <c r="V5" s="17"/>
      <c r="W5" s="17"/>
      <c r="X5" s="158"/>
      <c r="Y5" s="158"/>
      <c r="Z5" s="158"/>
    </row>
    <row r="6" spans="1:26" ht="28.5" customHeight="1" x14ac:dyDescent="0.3">
      <c r="A6" s="11" t="s">
        <v>1050</v>
      </c>
      <c r="B6" s="11" t="s">
        <v>1051</v>
      </c>
      <c r="C6" s="11" t="s">
        <v>201</v>
      </c>
      <c r="D6" s="51">
        <v>10.3</v>
      </c>
      <c r="E6" s="51">
        <v>8.1999999999999993</v>
      </c>
      <c r="F6" s="51">
        <f t="shared" si="0"/>
        <v>2.1000000000000014</v>
      </c>
      <c r="G6" s="51">
        <f t="shared" si="1"/>
        <v>25.609756097560993</v>
      </c>
      <c r="H6" s="17"/>
      <c r="I6" s="17"/>
      <c r="J6" s="17"/>
      <c r="K6" s="17"/>
      <c r="L6" s="17"/>
      <c r="M6" s="17"/>
      <c r="N6" s="17"/>
      <c r="O6" s="17"/>
      <c r="P6" s="17"/>
      <c r="Q6" s="17"/>
      <c r="R6" s="17"/>
      <c r="S6" s="17"/>
      <c r="T6" s="17"/>
      <c r="U6" s="17"/>
      <c r="V6" s="17"/>
      <c r="W6" s="17"/>
      <c r="X6" s="158"/>
      <c r="Y6" s="158"/>
      <c r="Z6" s="158"/>
    </row>
    <row r="7" spans="1:26" ht="28.5" customHeight="1" x14ac:dyDescent="0.3">
      <c r="A7" s="11" t="s">
        <v>517</v>
      </c>
      <c r="B7" s="11" t="s">
        <v>1052</v>
      </c>
      <c r="C7" s="11" t="s">
        <v>201</v>
      </c>
      <c r="D7" s="51">
        <v>8.6999999999999993</v>
      </c>
      <c r="E7" s="51">
        <v>7.5</v>
      </c>
      <c r="F7" s="51">
        <f t="shared" si="0"/>
        <v>1.1999999999999993</v>
      </c>
      <c r="G7" s="51">
        <f t="shared" si="1"/>
        <v>15.999999999999989</v>
      </c>
      <c r="H7" s="17"/>
      <c r="I7" s="17"/>
      <c r="J7" s="17"/>
      <c r="K7" s="17"/>
      <c r="L7" s="17"/>
      <c r="M7" s="17"/>
      <c r="N7" s="17"/>
      <c r="O7" s="17"/>
      <c r="P7" s="17"/>
      <c r="Q7" s="17"/>
      <c r="R7" s="17"/>
      <c r="S7" s="17"/>
      <c r="T7" s="17"/>
      <c r="U7" s="17"/>
      <c r="V7" s="17"/>
      <c r="W7" s="17"/>
      <c r="X7" s="158"/>
      <c r="Y7" s="158"/>
      <c r="Z7" s="158"/>
    </row>
    <row r="8" spans="1:26" ht="28.5" customHeight="1" x14ac:dyDescent="0.3">
      <c r="A8" s="11" t="s">
        <v>1053</v>
      </c>
      <c r="B8" s="11" t="s">
        <v>1054</v>
      </c>
      <c r="C8" s="11" t="s">
        <v>62</v>
      </c>
      <c r="D8" s="51">
        <v>15.1</v>
      </c>
      <c r="E8" s="51">
        <v>14.9</v>
      </c>
      <c r="F8" s="51">
        <f t="shared" si="0"/>
        <v>0.19999999999999929</v>
      </c>
      <c r="G8" s="51">
        <f t="shared" si="1"/>
        <v>1.342281879194626</v>
      </c>
      <c r="H8" s="17"/>
      <c r="I8" s="17"/>
      <c r="J8" s="17"/>
      <c r="K8" s="17"/>
      <c r="L8" s="17"/>
      <c r="M8" s="17"/>
      <c r="N8" s="17"/>
      <c r="O8" s="17"/>
      <c r="P8" s="17"/>
      <c r="Q8" s="17"/>
      <c r="R8" s="17"/>
      <c r="S8" s="17"/>
      <c r="T8" s="17"/>
      <c r="U8" s="17"/>
      <c r="V8" s="17"/>
      <c r="W8" s="17"/>
      <c r="X8" s="158"/>
      <c r="Y8" s="158"/>
      <c r="Z8" s="158"/>
    </row>
    <row r="9" spans="1:26" ht="28.5" customHeight="1" x14ac:dyDescent="0.3">
      <c r="A9" s="11" t="s">
        <v>1055</v>
      </c>
      <c r="B9" s="11" t="s">
        <v>1056</v>
      </c>
      <c r="C9" s="11" t="s">
        <v>43</v>
      </c>
      <c r="D9" s="51">
        <v>7.9</v>
      </c>
      <c r="E9" s="51">
        <v>5.7</v>
      </c>
      <c r="F9" s="51">
        <f t="shared" si="0"/>
        <v>2.2000000000000002</v>
      </c>
      <c r="G9" s="51">
        <f t="shared" si="1"/>
        <v>38.596491228070178</v>
      </c>
      <c r="H9" s="17"/>
      <c r="I9" s="17"/>
      <c r="J9" s="17"/>
      <c r="K9" s="17"/>
      <c r="L9" s="17"/>
      <c r="M9" s="17"/>
      <c r="N9" s="17"/>
      <c r="O9" s="17"/>
      <c r="P9" s="17"/>
      <c r="Q9" s="17"/>
      <c r="R9" s="17"/>
      <c r="S9" s="17"/>
      <c r="T9" s="17"/>
      <c r="U9" s="17"/>
      <c r="V9" s="17"/>
      <c r="W9" s="17"/>
      <c r="X9" s="158"/>
      <c r="Y9" s="158"/>
      <c r="Z9" s="158"/>
    </row>
    <row r="10" spans="1:26" ht="28.5" customHeight="1" x14ac:dyDescent="0.3">
      <c r="A10" s="24" t="s">
        <v>1057</v>
      </c>
      <c r="B10" s="11" t="s">
        <v>1058</v>
      </c>
      <c r="C10" s="11" t="s">
        <v>481</v>
      </c>
      <c r="D10" s="51">
        <v>4.0999999999999996</v>
      </c>
      <c r="E10" s="51">
        <v>0</v>
      </c>
      <c r="F10" s="51">
        <f t="shared" si="0"/>
        <v>4.0999999999999996</v>
      </c>
      <c r="G10" s="51">
        <v>100</v>
      </c>
      <c r="H10" s="45"/>
      <c r="I10" s="45"/>
      <c r="J10" s="45"/>
      <c r="K10" s="45"/>
      <c r="L10" s="45"/>
      <c r="M10" s="45"/>
      <c r="N10" s="45"/>
      <c r="O10" s="45"/>
      <c r="P10" s="45"/>
      <c r="Q10" s="45"/>
      <c r="R10" s="45"/>
      <c r="S10" s="45"/>
      <c r="T10" s="45"/>
      <c r="U10" s="45"/>
      <c r="V10" s="45"/>
      <c r="W10" s="45"/>
      <c r="X10" s="158"/>
      <c r="Y10" s="158"/>
      <c r="Z10" s="158"/>
    </row>
    <row r="11" spans="1:26" ht="28.5" customHeight="1" x14ac:dyDescent="0.3">
      <c r="A11" s="30" t="s">
        <v>1059</v>
      </c>
      <c r="B11" s="26"/>
      <c r="C11" s="26"/>
      <c r="D11" s="19">
        <v>178.4</v>
      </c>
      <c r="E11" s="19">
        <v>173</v>
      </c>
      <c r="F11" s="19">
        <f t="shared" si="0"/>
        <v>5.4000000000000057</v>
      </c>
      <c r="G11" s="19">
        <f t="shared" ref="G11:G25" si="2">(F11/E11)*100</f>
        <v>3.1213872832369973</v>
      </c>
      <c r="H11" s="17"/>
      <c r="I11" s="17"/>
      <c r="J11" s="17"/>
      <c r="K11" s="17"/>
      <c r="L11" s="17"/>
      <c r="M11" s="17"/>
      <c r="N11" s="17"/>
      <c r="O11" s="17"/>
      <c r="P11" s="17"/>
      <c r="Q11" s="17"/>
      <c r="R11" s="17"/>
      <c r="S11" s="17"/>
      <c r="T11" s="17"/>
      <c r="U11" s="17"/>
      <c r="V11" s="17"/>
      <c r="W11" s="17"/>
      <c r="X11" s="158"/>
      <c r="Y11" s="158"/>
      <c r="Z11" s="158"/>
    </row>
    <row r="12" spans="1:26" ht="28.5" customHeight="1" x14ac:dyDescent="0.3">
      <c r="A12" s="12" t="s">
        <v>731</v>
      </c>
      <c r="B12" s="11"/>
      <c r="C12" s="11" t="s">
        <v>239</v>
      </c>
      <c r="D12" s="51">
        <v>14.1</v>
      </c>
      <c r="E12" s="51">
        <v>13.1</v>
      </c>
      <c r="F12" s="51">
        <f t="shared" si="0"/>
        <v>1</v>
      </c>
      <c r="G12" s="51">
        <f t="shared" si="2"/>
        <v>7.6335877862595423</v>
      </c>
      <c r="H12" s="17"/>
      <c r="I12" s="17"/>
      <c r="J12" s="17"/>
      <c r="K12" s="17"/>
      <c r="L12" s="17"/>
      <c r="M12" s="17"/>
      <c r="N12" s="17"/>
      <c r="O12" s="17"/>
      <c r="P12" s="17"/>
      <c r="Q12" s="17"/>
      <c r="R12" s="17"/>
      <c r="S12" s="17"/>
      <c r="T12" s="17"/>
      <c r="U12" s="17"/>
      <c r="V12" s="17"/>
      <c r="W12" s="17"/>
      <c r="X12" s="158"/>
      <c r="Y12" s="158"/>
      <c r="Z12" s="158"/>
    </row>
    <row r="13" spans="1:26" ht="28.5" customHeight="1" x14ac:dyDescent="0.3">
      <c r="A13" s="24" t="s">
        <v>1060</v>
      </c>
      <c r="B13" s="11" t="s">
        <v>1061</v>
      </c>
      <c r="C13" s="11" t="s">
        <v>239</v>
      </c>
      <c r="D13" s="51">
        <v>10.6</v>
      </c>
      <c r="E13" s="51">
        <v>9.1</v>
      </c>
      <c r="F13" s="51">
        <f t="shared" si="0"/>
        <v>1.5</v>
      </c>
      <c r="G13" s="51">
        <f t="shared" si="2"/>
        <v>16.483516483516482</v>
      </c>
      <c r="H13" s="17"/>
      <c r="I13" s="17"/>
      <c r="J13" s="17"/>
      <c r="K13" s="17"/>
      <c r="L13" s="17"/>
      <c r="M13" s="17"/>
      <c r="N13" s="17"/>
      <c r="O13" s="17"/>
      <c r="P13" s="17"/>
      <c r="Q13" s="17"/>
      <c r="R13" s="17"/>
      <c r="S13" s="17"/>
      <c r="T13" s="17"/>
      <c r="U13" s="17"/>
      <c r="V13" s="17"/>
      <c r="W13" s="17"/>
      <c r="X13" s="158"/>
      <c r="Y13" s="158"/>
      <c r="Z13" s="158"/>
    </row>
    <row r="14" spans="1:26" ht="28.5" customHeight="1" x14ac:dyDescent="0.3">
      <c r="A14" s="24" t="s">
        <v>1062</v>
      </c>
      <c r="B14" s="71" t="s">
        <v>1063</v>
      </c>
      <c r="C14" s="11" t="s">
        <v>239</v>
      </c>
      <c r="D14" s="51">
        <v>6.3</v>
      </c>
      <c r="E14" s="51">
        <v>6.3</v>
      </c>
      <c r="F14" s="51">
        <f t="shared" si="0"/>
        <v>0</v>
      </c>
      <c r="G14" s="51">
        <f t="shared" si="2"/>
        <v>0</v>
      </c>
      <c r="H14" s="17"/>
      <c r="I14" s="17"/>
      <c r="J14" s="17"/>
      <c r="K14" s="17"/>
      <c r="L14" s="17"/>
      <c r="M14" s="17"/>
      <c r="N14" s="17"/>
      <c r="O14" s="17"/>
      <c r="P14" s="17"/>
      <c r="Q14" s="17"/>
      <c r="R14" s="17"/>
      <c r="S14" s="17"/>
      <c r="T14" s="17"/>
      <c r="U14" s="17"/>
      <c r="V14" s="17"/>
      <c r="W14" s="17"/>
      <c r="X14" s="158"/>
      <c r="Y14" s="158"/>
      <c r="Z14" s="158"/>
    </row>
    <row r="15" spans="1:26" ht="28.5" customHeight="1" x14ac:dyDescent="0.3">
      <c r="A15" s="24" t="s">
        <v>1064</v>
      </c>
      <c r="B15" s="71" t="s">
        <v>1065</v>
      </c>
      <c r="C15" s="11" t="s">
        <v>239</v>
      </c>
      <c r="D15" s="51">
        <v>5.3</v>
      </c>
      <c r="E15" s="51">
        <v>5.2</v>
      </c>
      <c r="F15" s="51">
        <f t="shared" si="0"/>
        <v>9.9999999999999645E-2</v>
      </c>
      <c r="G15" s="51">
        <f t="shared" si="2"/>
        <v>1.9230769230769162</v>
      </c>
      <c r="H15" s="17"/>
      <c r="I15" s="17"/>
      <c r="J15" s="17"/>
      <c r="K15" s="17"/>
      <c r="L15" s="17"/>
      <c r="M15" s="17"/>
      <c r="N15" s="17"/>
      <c r="O15" s="17"/>
      <c r="P15" s="17"/>
      <c r="Q15" s="17"/>
      <c r="R15" s="17"/>
      <c r="S15" s="17"/>
      <c r="T15" s="17"/>
      <c r="U15" s="17"/>
      <c r="V15" s="17"/>
      <c r="W15" s="17"/>
      <c r="X15" s="158"/>
      <c r="Y15" s="158"/>
      <c r="Z15" s="158"/>
    </row>
    <row r="16" spans="1:26" ht="28.5" customHeight="1" x14ac:dyDescent="0.3">
      <c r="A16" s="24" t="s">
        <v>1066</v>
      </c>
      <c r="B16" s="24"/>
      <c r="C16" s="11" t="s">
        <v>239</v>
      </c>
      <c r="D16" s="51">
        <v>4.9000000000000004</v>
      </c>
      <c r="E16" s="51">
        <v>4.9000000000000004</v>
      </c>
      <c r="F16" s="51">
        <f t="shared" si="0"/>
        <v>0</v>
      </c>
      <c r="G16" s="51">
        <f t="shared" si="2"/>
        <v>0</v>
      </c>
      <c r="H16" s="17"/>
      <c r="I16" s="17"/>
      <c r="J16" s="17"/>
      <c r="K16" s="17"/>
      <c r="L16" s="17"/>
      <c r="M16" s="17"/>
      <c r="N16" s="17"/>
      <c r="O16" s="17"/>
      <c r="P16" s="17"/>
      <c r="Q16" s="17"/>
      <c r="R16" s="17"/>
      <c r="S16" s="17"/>
      <c r="T16" s="17"/>
      <c r="U16" s="17"/>
      <c r="V16" s="17"/>
      <c r="W16" s="17"/>
      <c r="X16" s="158"/>
      <c r="Y16" s="158"/>
      <c r="Z16" s="158"/>
    </row>
    <row r="17" spans="1:26" ht="28.5" customHeight="1" x14ac:dyDescent="0.3">
      <c r="A17" s="30" t="s">
        <v>277</v>
      </c>
      <c r="B17" s="26"/>
      <c r="C17" s="147" t="s">
        <v>239</v>
      </c>
      <c r="D17" s="19">
        <v>42</v>
      </c>
      <c r="E17" s="19">
        <v>39.6</v>
      </c>
      <c r="F17" s="19">
        <f t="shared" si="0"/>
        <v>2.3999999999999986</v>
      </c>
      <c r="G17" s="19">
        <f t="shared" si="2"/>
        <v>6.060606060606057</v>
      </c>
      <c r="H17" s="17"/>
      <c r="I17" s="17"/>
      <c r="J17" s="17"/>
      <c r="K17" s="17"/>
      <c r="L17" s="17"/>
      <c r="M17" s="17"/>
      <c r="N17" s="17"/>
      <c r="O17" s="17"/>
      <c r="P17" s="17"/>
      <c r="Q17" s="17"/>
      <c r="R17" s="17"/>
      <c r="S17" s="17"/>
      <c r="T17" s="17"/>
      <c r="U17" s="17"/>
      <c r="V17" s="17"/>
      <c r="W17" s="17"/>
      <c r="X17" s="158"/>
      <c r="Y17" s="158"/>
      <c r="Z17" s="158"/>
    </row>
    <row r="18" spans="1:26" ht="28.5" customHeight="1" x14ac:dyDescent="0.3">
      <c r="A18" s="30" t="s">
        <v>1067</v>
      </c>
      <c r="B18" s="26"/>
      <c r="C18" s="26"/>
      <c r="D18" s="19">
        <v>79.2</v>
      </c>
      <c r="E18" s="19">
        <v>68.900000000000006</v>
      </c>
      <c r="F18" s="19">
        <f t="shared" si="0"/>
        <v>10.299999999999997</v>
      </c>
      <c r="G18" s="19">
        <f t="shared" si="2"/>
        <v>14.949201741654566</v>
      </c>
      <c r="H18" s="17"/>
      <c r="I18" s="17"/>
      <c r="J18" s="17"/>
      <c r="K18" s="17"/>
      <c r="L18" s="17"/>
      <c r="M18" s="17"/>
      <c r="N18" s="17"/>
      <c r="O18" s="17"/>
      <c r="P18" s="17"/>
      <c r="Q18" s="17"/>
      <c r="R18" s="17"/>
      <c r="S18" s="17"/>
      <c r="T18" s="17"/>
      <c r="U18" s="17"/>
      <c r="V18" s="17"/>
      <c r="W18" s="17"/>
      <c r="X18" s="158"/>
      <c r="Y18" s="158"/>
      <c r="Z18" s="158"/>
    </row>
    <row r="19" spans="1:26" ht="28.5" customHeight="1" x14ac:dyDescent="0.3">
      <c r="A19" s="30" t="s">
        <v>1068</v>
      </c>
      <c r="B19" s="26"/>
      <c r="C19" s="26"/>
      <c r="D19" s="19">
        <v>299.7</v>
      </c>
      <c r="E19" s="19">
        <v>309</v>
      </c>
      <c r="F19" s="19">
        <f t="shared" si="0"/>
        <v>-9.3000000000000114</v>
      </c>
      <c r="G19" s="19">
        <f t="shared" si="2"/>
        <v>-3.0097087378640817</v>
      </c>
      <c r="H19" s="17"/>
      <c r="I19" s="17"/>
      <c r="J19" s="17"/>
      <c r="K19" s="17"/>
      <c r="L19" s="17"/>
      <c r="M19" s="17"/>
      <c r="N19" s="17"/>
      <c r="O19" s="17"/>
      <c r="P19" s="17"/>
      <c r="Q19" s="17"/>
      <c r="R19" s="17"/>
      <c r="S19" s="17"/>
      <c r="T19" s="17"/>
      <c r="U19" s="17"/>
      <c r="V19" s="17"/>
      <c r="W19" s="17"/>
      <c r="X19" s="158"/>
      <c r="Y19" s="158"/>
      <c r="Z19" s="158"/>
    </row>
    <row r="20" spans="1:26" ht="28.5" customHeight="1" x14ac:dyDescent="0.3">
      <c r="A20" s="20" t="s">
        <v>1069</v>
      </c>
      <c r="B20" s="26"/>
      <c r="C20" s="26"/>
      <c r="D20" s="19">
        <v>49.2</v>
      </c>
      <c r="E20" s="19">
        <v>50.6</v>
      </c>
      <c r="F20" s="19">
        <f t="shared" si="0"/>
        <v>-1.3999999999999986</v>
      </c>
      <c r="G20" s="19">
        <f t="shared" si="2"/>
        <v>-2.7667984189723294</v>
      </c>
      <c r="H20" s="45"/>
      <c r="I20" s="45"/>
      <c r="J20" s="45"/>
      <c r="K20" s="45"/>
      <c r="L20" s="45"/>
      <c r="M20" s="45"/>
      <c r="N20" s="45"/>
      <c r="O20" s="45"/>
      <c r="P20" s="45"/>
      <c r="Q20" s="45"/>
      <c r="R20" s="45"/>
      <c r="S20" s="45"/>
      <c r="T20" s="45"/>
      <c r="U20" s="45"/>
      <c r="V20" s="45"/>
      <c r="W20" s="45"/>
      <c r="X20" s="158"/>
      <c r="Y20" s="158"/>
      <c r="Z20" s="158"/>
    </row>
    <row r="21" spans="1:26" ht="28.5" customHeight="1" x14ac:dyDescent="0.3">
      <c r="A21" s="11" t="s">
        <v>1070</v>
      </c>
      <c r="B21" s="11" t="s">
        <v>1071</v>
      </c>
      <c r="C21" s="11" t="s">
        <v>62</v>
      </c>
      <c r="D21" s="51">
        <v>21.8</v>
      </c>
      <c r="E21" s="51">
        <v>23.7</v>
      </c>
      <c r="F21" s="51">
        <f t="shared" si="0"/>
        <v>-1.8999999999999986</v>
      </c>
      <c r="G21" s="51">
        <f t="shared" si="2"/>
        <v>-8.0168776371307953</v>
      </c>
      <c r="H21" s="17"/>
      <c r="I21" s="17"/>
      <c r="J21" s="17"/>
      <c r="K21" s="17"/>
      <c r="L21" s="17"/>
      <c r="M21" s="17"/>
      <c r="N21" s="17"/>
      <c r="O21" s="17"/>
      <c r="P21" s="17"/>
      <c r="Q21" s="17"/>
      <c r="R21" s="17"/>
      <c r="S21" s="17"/>
      <c r="T21" s="17"/>
      <c r="U21" s="17"/>
      <c r="V21" s="17"/>
      <c r="W21" s="17"/>
      <c r="X21" s="158"/>
      <c r="Y21" s="158"/>
      <c r="Z21" s="158"/>
    </row>
    <row r="22" spans="1:26" ht="28.5" customHeight="1" x14ac:dyDescent="0.3">
      <c r="A22" s="26" t="s">
        <v>1072</v>
      </c>
      <c r="B22" s="26"/>
      <c r="C22" s="26"/>
      <c r="D22" s="19">
        <v>16.3</v>
      </c>
      <c r="E22" s="19">
        <v>21.7</v>
      </c>
      <c r="F22" s="19">
        <f t="shared" si="0"/>
        <v>-5.3999999999999986</v>
      </c>
      <c r="G22" s="19">
        <f t="shared" si="2"/>
        <v>-24.884792626728107</v>
      </c>
      <c r="H22" s="45"/>
      <c r="I22" s="45"/>
      <c r="J22" s="45"/>
      <c r="K22" s="45"/>
      <c r="L22" s="45"/>
      <c r="M22" s="45"/>
      <c r="N22" s="45"/>
      <c r="O22" s="45"/>
      <c r="P22" s="45"/>
      <c r="Q22" s="45"/>
      <c r="R22" s="45"/>
      <c r="S22" s="45"/>
      <c r="T22" s="45"/>
      <c r="U22" s="45"/>
      <c r="V22" s="45"/>
      <c r="W22" s="45"/>
      <c r="X22" s="158"/>
      <c r="Y22" s="158"/>
      <c r="Z22" s="158"/>
    </row>
    <row r="23" spans="1:26" ht="28.5" customHeight="1" x14ac:dyDescent="0.3">
      <c r="A23" s="11" t="s">
        <v>1073</v>
      </c>
      <c r="B23" s="11" t="s">
        <v>1074</v>
      </c>
      <c r="C23" s="11" t="s">
        <v>62</v>
      </c>
      <c r="D23" s="51">
        <v>4.3</v>
      </c>
      <c r="E23" s="51">
        <v>9.6</v>
      </c>
      <c r="F23" s="51">
        <f t="shared" si="0"/>
        <v>-5.3</v>
      </c>
      <c r="G23" s="51">
        <f t="shared" si="2"/>
        <v>-55.208333333333336</v>
      </c>
      <c r="H23" s="17"/>
      <c r="I23" s="17"/>
      <c r="J23" s="17"/>
      <c r="K23" s="17"/>
      <c r="L23" s="17"/>
      <c r="M23" s="17"/>
      <c r="N23" s="17"/>
      <c r="O23" s="17"/>
      <c r="P23" s="17"/>
      <c r="Q23" s="17"/>
      <c r="R23" s="17"/>
      <c r="S23" s="17"/>
      <c r="T23" s="17"/>
      <c r="U23" s="17"/>
      <c r="V23" s="17"/>
      <c r="W23" s="17"/>
      <c r="X23" s="158"/>
      <c r="Y23" s="158"/>
      <c r="Z23" s="158"/>
    </row>
    <row r="24" spans="1:26" ht="28.5" customHeight="1" x14ac:dyDescent="0.3">
      <c r="A24" s="11" t="s">
        <v>1075</v>
      </c>
      <c r="B24" s="11" t="s">
        <v>1051</v>
      </c>
      <c r="C24" s="11" t="s">
        <v>201</v>
      </c>
      <c r="D24" s="51">
        <v>9.3000000000000007</v>
      </c>
      <c r="E24" s="51">
        <v>8.6999999999999993</v>
      </c>
      <c r="F24" s="51">
        <f t="shared" si="0"/>
        <v>0.60000000000000142</v>
      </c>
      <c r="G24" s="51">
        <f t="shared" si="2"/>
        <v>6.8965517241379475</v>
      </c>
      <c r="H24" s="17"/>
      <c r="I24" s="17"/>
      <c r="J24" s="17"/>
      <c r="K24" s="17"/>
      <c r="L24" s="17"/>
      <c r="M24" s="17"/>
      <c r="N24" s="17"/>
      <c r="O24" s="17"/>
      <c r="P24" s="17"/>
      <c r="Q24" s="17"/>
      <c r="R24" s="17"/>
      <c r="S24" s="17"/>
      <c r="T24" s="17"/>
      <c r="U24" s="17"/>
      <c r="V24" s="17"/>
      <c r="W24" s="17"/>
      <c r="X24" s="158"/>
      <c r="Y24" s="158"/>
      <c r="Z24" s="158"/>
    </row>
    <row r="25" spans="1:26" ht="28.5" customHeight="1" x14ac:dyDescent="0.3">
      <c r="A25" s="30" t="s">
        <v>1076</v>
      </c>
      <c r="B25" s="26"/>
      <c r="C25" s="26"/>
      <c r="D25" s="19">
        <v>372.6</v>
      </c>
      <c r="E25" s="19">
        <v>389.5</v>
      </c>
      <c r="F25" s="19">
        <f t="shared" si="0"/>
        <v>-16.899999999999977</v>
      </c>
      <c r="G25" s="19">
        <f t="shared" si="2"/>
        <v>-4.3388960205391474</v>
      </c>
      <c r="H25" s="17"/>
      <c r="I25" s="17"/>
      <c r="J25" s="17"/>
      <c r="K25" s="17"/>
      <c r="L25" s="17"/>
      <c r="M25" s="17"/>
      <c r="N25" s="17"/>
      <c r="O25" s="17"/>
      <c r="P25" s="17"/>
      <c r="Q25" s="17"/>
      <c r="R25" s="17"/>
      <c r="S25" s="17"/>
      <c r="T25" s="17"/>
      <c r="U25" s="17"/>
      <c r="V25" s="17"/>
      <c r="W25" s="17"/>
      <c r="X25" s="158"/>
      <c r="Y25" s="158"/>
      <c r="Z25" s="158"/>
    </row>
  </sheetData>
  <pageMargins left="0.7" right="0.7" top="0.75" bottom="0.75" header="0" footer="0"/>
  <pageSetup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2A5DB0"/>
  </sheetPr>
  <dimension ref="A1:Z15"/>
  <sheetViews>
    <sheetView workbookViewId="0">
      <pane ySplit="1" topLeftCell="A2" activePane="bottomLeft" state="frozen"/>
      <selection pane="bottomLeft"/>
    </sheetView>
  </sheetViews>
  <sheetFormatPr defaultColWidth="14.44140625" defaultRowHeight="15.75" customHeight="1" x14ac:dyDescent="0.25"/>
  <cols>
    <col min="1" max="1" width="28" customWidth="1"/>
    <col min="2" max="2" width="11.6640625" customWidth="1"/>
    <col min="3" max="3" width="26.88671875" customWidth="1"/>
    <col min="4" max="4" width="9.5546875" customWidth="1"/>
    <col min="5" max="5" width="9.77734375" customWidth="1"/>
    <col min="6" max="6" width="14.44140625" customWidth="1"/>
    <col min="7" max="7" width="20.44140625" customWidth="1"/>
    <col min="8" max="8" width="10.6640625" customWidth="1"/>
    <col min="9" max="9" width="9.6640625" customWidth="1"/>
    <col min="10" max="10" width="12.109375" customWidth="1"/>
    <col min="11" max="11" width="21.44140625" customWidth="1"/>
    <col min="12" max="12" width="14.33203125" customWidth="1"/>
    <col min="13" max="13" width="13" customWidth="1"/>
    <col min="14" max="26" width="9.109375" customWidth="1"/>
  </cols>
  <sheetData>
    <row r="1" spans="1:26" ht="34.5" customHeight="1" x14ac:dyDescent="0.25">
      <c r="A1" s="179" t="s">
        <v>1771</v>
      </c>
      <c r="B1" s="180" t="s">
        <v>10</v>
      </c>
      <c r="C1" s="8" t="s">
        <v>11</v>
      </c>
      <c r="D1" s="181" t="s">
        <v>1762</v>
      </c>
      <c r="E1" s="181" t="s">
        <v>1696</v>
      </c>
      <c r="F1" s="181" t="s">
        <v>1705</v>
      </c>
      <c r="G1" s="182" t="s">
        <v>1772</v>
      </c>
      <c r="H1" s="181" t="s">
        <v>1762</v>
      </c>
      <c r="I1" s="181" t="s">
        <v>1696</v>
      </c>
      <c r="J1" s="181" t="s">
        <v>1705</v>
      </c>
      <c r="K1" s="182" t="s">
        <v>1773</v>
      </c>
      <c r="L1" s="181" t="s">
        <v>1682</v>
      </c>
      <c r="M1" s="181" t="s">
        <v>1683</v>
      </c>
      <c r="N1" s="18"/>
      <c r="O1" s="18"/>
      <c r="P1" s="18"/>
      <c r="Q1" s="18"/>
      <c r="R1" s="18"/>
      <c r="S1" s="18"/>
      <c r="T1" s="18"/>
      <c r="U1" s="18"/>
      <c r="V1" s="18"/>
      <c r="W1" s="18"/>
      <c r="X1" s="18"/>
      <c r="Y1" s="18"/>
      <c r="Z1" s="18"/>
    </row>
    <row r="2" spans="1:26" ht="28.5" customHeight="1" x14ac:dyDescent="0.25">
      <c r="A2" s="11" t="s">
        <v>1774</v>
      </c>
      <c r="B2" s="11"/>
      <c r="C2" s="11" t="s">
        <v>62</v>
      </c>
      <c r="D2" s="186">
        <v>484</v>
      </c>
      <c r="E2" s="186">
        <v>631</v>
      </c>
      <c r="F2" s="186">
        <v>210.8</v>
      </c>
      <c r="G2" s="186">
        <v>1325.8</v>
      </c>
      <c r="H2" s="186">
        <v>426.4</v>
      </c>
      <c r="I2" s="186">
        <v>619.29999999999995</v>
      </c>
      <c r="J2" s="186">
        <v>243.9</v>
      </c>
      <c r="K2" s="186">
        <v>1289.5999999999999</v>
      </c>
      <c r="L2" s="64">
        <f t="shared" ref="L2:L15" si="0">G2-K2</f>
        <v>36.200000000000045</v>
      </c>
      <c r="M2" s="64">
        <f t="shared" ref="M2:M15" si="1">(L2/K2)*100</f>
        <v>2.8070719602977703</v>
      </c>
      <c r="N2" s="18"/>
      <c r="O2" s="18"/>
      <c r="P2" s="18"/>
      <c r="Q2" s="18"/>
      <c r="R2" s="18"/>
      <c r="S2" s="18"/>
      <c r="T2" s="18"/>
      <c r="U2" s="18"/>
      <c r="V2" s="18"/>
      <c r="W2" s="18"/>
      <c r="X2" s="18"/>
      <c r="Y2" s="18"/>
      <c r="Z2" s="18"/>
    </row>
    <row r="3" spans="1:26" ht="28.5" customHeight="1" x14ac:dyDescent="0.25">
      <c r="A3" s="11" t="s">
        <v>1078</v>
      </c>
      <c r="B3" s="11"/>
      <c r="C3" s="11" t="s">
        <v>89</v>
      </c>
      <c r="D3" s="186">
        <v>120.7</v>
      </c>
      <c r="E3" s="186">
        <v>320.10000000000002</v>
      </c>
      <c r="F3" s="186">
        <v>756.8</v>
      </c>
      <c r="G3" s="186">
        <v>1197.5999999999999</v>
      </c>
      <c r="H3" s="186">
        <v>77.3</v>
      </c>
      <c r="I3" s="186">
        <v>299.7</v>
      </c>
      <c r="J3" s="186">
        <v>783</v>
      </c>
      <c r="K3" s="186">
        <v>1160</v>
      </c>
      <c r="L3" s="64">
        <f t="shared" si="0"/>
        <v>37.599999999999909</v>
      </c>
      <c r="M3" s="64">
        <f t="shared" si="1"/>
        <v>3.2413793103448199</v>
      </c>
      <c r="N3" s="18"/>
      <c r="O3" s="18"/>
      <c r="P3" s="18"/>
      <c r="Q3" s="18"/>
      <c r="R3" s="18"/>
      <c r="S3" s="18"/>
      <c r="T3" s="18"/>
      <c r="U3" s="18"/>
      <c r="V3" s="18"/>
      <c r="W3" s="18"/>
      <c r="X3" s="18"/>
      <c r="Y3" s="18"/>
      <c r="Z3" s="18"/>
    </row>
    <row r="4" spans="1:26" ht="28.5" customHeight="1" x14ac:dyDescent="0.25">
      <c r="A4" s="11" t="s">
        <v>1079</v>
      </c>
      <c r="B4" s="11"/>
      <c r="C4" s="11" t="s">
        <v>221</v>
      </c>
      <c r="D4" s="186">
        <v>890.4</v>
      </c>
      <c r="E4" s="186">
        <v>362.3</v>
      </c>
      <c r="F4" s="186">
        <v>165.6</v>
      </c>
      <c r="G4" s="186">
        <v>1418.3</v>
      </c>
      <c r="H4" s="186">
        <v>805.3</v>
      </c>
      <c r="I4" s="186">
        <v>327.9</v>
      </c>
      <c r="J4" s="186">
        <v>166.5</v>
      </c>
      <c r="K4" s="186">
        <v>1299.7</v>
      </c>
      <c r="L4" s="64">
        <f t="shared" si="0"/>
        <v>118.59999999999991</v>
      </c>
      <c r="M4" s="64">
        <f t="shared" si="1"/>
        <v>9.1251827344771801</v>
      </c>
      <c r="N4" s="18"/>
      <c r="O4" s="18"/>
      <c r="P4" s="18"/>
      <c r="Q4" s="18"/>
      <c r="R4" s="18"/>
      <c r="S4" s="18"/>
      <c r="T4" s="18"/>
      <c r="U4" s="18"/>
      <c r="V4" s="18"/>
      <c r="W4" s="18"/>
      <c r="X4" s="18"/>
      <c r="Y4" s="18"/>
      <c r="Z4" s="18"/>
    </row>
    <row r="5" spans="1:26" ht="28.5" customHeight="1" x14ac:dyDescent="0.25">
      <c r="A5" s="11" t="s">
        <v>1080</v>
      </c>
      <c r="B5" s="11"/>
      <c r="C5" s="11" t="s">
        <v>129</v>
      </c>
      <c r="D5" s="186">
        <v>184.4</v>
      </c>
      <c r="E5" s="186">
        <v>372.7</v>
      </c>
      <c r="F5" s="186">
        <v>102.9</v>
      </c>
      <c r="G5" s="186">
        <v>660</v>
      </c>
      <c r="H5" s="186">
        <v>159.1</v>
      </c>
      <c r="I5" s="186">
        <v>358.6</v>
      </c>
      <c r="J5" s="186">
        <v>116.1</v>
      </c>
      <c r="K5" s="186">
        <v>633.79999999999995</v>
      </c>
      <c r="L5" s="64">
        <f t="shared" si="0"/>
        <v>26.200000000000045</v>
      </c>
      <c r="M5" s="64">
        <f t="shared" si="1"/>
        <v>4.1337961502051188</v>
      </c>
      <c r="N5" s="18"/>
      <c r="O5" s="18"/>
      <c r="P5" s="18"/>
      <c r="Q5" s="18"/>
      <c r="R5" s="18"/>
      <c r="S5" s="18"/>
      <c r="T5" s="18"/>
      <c r="U5" s="18"/>
      <c r="V5" s="18"/>
      <c r="W5" s="18"/>
      <c r="X5" s="18"/>
      <c r="Y5" s="18"/>
      <c r="Z5" s="18"/>
    </row>
    <row r="6" spans="1:26" ht="28.5" customHeight="1" x14ac:dyDescent="0.25">
      <c r="A6" s="11" t="s">
        <v>1081</v>
      </c>
      <c r="B6" s="11"/>
      <c r="C6" s="11" t="s">
        <v>97</v>
      </c>
      <c r="D6" s="186">
        <v>121</v>
      </c>
      <c r="E6" s="186">
        <v>465.6</v>
      </c>
      <c r="F6" s="186">
        <v>252.6</v>
      </c>
      <c r="G6" s="186">
        <v>839.2</v>
      </c>
      <c r="H6" s="186">
        <v>94.9</v>
      </c>
      <c r="I6" s="186">
        <v>434.9</v>
      </c>
      <c r="J6" s="186">
        <v>276.3</v>
      </c>
      <c r="K6" s="186">
        <v>806.1</v>
      </c>
      <c r="L6" s="64">
        <f t="shared" si="0"/>
        <v>33.100000000000023</v>
      </c>
      <c r="M6" s="64">
        <f t="shared" si="1"/>
        <v>4.106190298970354</v>
      </c>
      <c r="N6" s="18"/>
      <c r="O6" s="18"/>
      <c r="P6" s="18"/>
      <c r="Q6" s="18"/>
      <c r="R6" s="18"/>
      <c r="S6" s="18"/>
      <c r="T6" s="18"/>
      <c r="U6" s="18"/>
      <c r="V6" s="18"/>
      <c r="W6" s="18"/>
      <c r="X6" s="18"/>
      <c r="Y6" s="18"/>
      <c r="Z6" s="18"/>
    </row>
    <row r="7" spans="1:26" ht="28.5" customHeight="1" x14ac:dyDescent="0.25">
      <c r="A7" s="11" t="s">
        <v>1082</v>
      </c>
      <c r="B7" s="11"/>
      <c r="C7" s="11" t="s">
        <v>201</v>
      </c>
      <c r="D7" s="186">
        <v>187.4</v>
      </c>
      <c r="E7" s="186">
        <v>231.7</v>
      </c>
      <c r="F7" s="186">
        <v>89.7</v>
      </c>
      <c r="G7" s="186">
        <v>508.8</v>
      </c>
      <c r="H7" s="186">
        <v>326.10000000000002</v>
      </c>
      <c r="I7" s="186">
        <v>208</v>
      </c>
      <c r="J7" s="186">
        <v>110.4</v>
      </c>
      <c r="K7" s="186">
        <v>644.5</v>
      </c>
      <c r="L7" s="64">
        <f t="shared" si="0"/>
        <v>-135.69999999999999</v>
      </c>
      <c r="M7" s="64">
        <f t="shared" si="1"/>
        <v>-21.055081458494957</v>
      </c>
      <c r="N7" s="18"/>
      <c r="O7" s="18"/>
      <c r="P7" s="18"/>
      <c r="Q7" s="18"/>
      <c r="R7" s="18"/>
      <c r="S7" s="18"/>
      <c r="T7" s="18"/>
      <c r="U7" s="18"/>
      <c r="V7" s="18"/>
      <c r="W7" s="18"/>
      <c r="X7" s="18"/>
      <c r="Y7" s="18"/>
      <c r="Z7" s="18"/>
    </row>
    <row r="8" spans="1:26" ht="28.5" customHeight="1" x14ac:dyDescent="0.25">
      <c r="A8" s="11" t="s">
        <v>56</v>
      </c>
      <c r="B8" s="11"/>
      <c r="C8" s="11" t="s">
        <v>56</v>
      </c>
      <c r="D8" s="186">
        <v>87.8</v>
      </c>
      <c r="E8" s="186">
        <v>215</v>
      </c>
      <c r="F8" s="186">
        <v>57.2</v>
      </c>
      <c r="G8" s="186">
        <v>360</v>
      </c>
      <c r="H8" s="186">
        <v>77.599999999999994</v>
      </c>
      <c r="I8" s="186">
        <v>217.7</v>
      </c>
      <c r="J8" s="186">
        <v>70.7</v>
      </c>
      <c r="K8" s="186">
        <v>366</v>
      </c>
      <c r="L8" s="64">
        <f t="shared" si="0"/>
        <v>-6</v>
      </c>
      <c r="M8" s="64">
        <f t="shared" si="1"/>
        <v>-1.639344262295082</v>
      </c>
      <c r="N8" s="18"/>
      <c r="O8" s="18"/>
      <c r="P8" s="18"/>
      <c r="Q8" s="18"/>
      <c r="R8" s="18"/>
      <c r="S8" s="18"/>
      <c r="T8" s="18"/>
      <c r="U8" s="18"/>
      <c r="V8" s="18"/>
      <c r="W8" s="18"/>
      <c r="X8" s="18"/>
      <c r="Y8" s="18"/>
      <c r="Z8" s="18"/>
    </row>
    <row r="9" spans="1:26" ht="28.5" customHeight="1" x14ac:dyDescent="0.25">
      <c r="A9" s="11" t="s">
        <v>86</v>
      </c>
      <c r="B9" s="11"/>
      <c r="C9" s="11" t="s">
        <v>84</v>
      </c>
      <c r="D9" s="186">
        <v>275.89999999999998</v>
      </c>
      <c r="E9" s="186">
        <v>180.6</v>
      </c>
      <c r="F9" s="186">
        <v>84.9</v>
      </c>
      <c r="G9" s="186">
        <v>541.4</v>
      </c>
      <c r="H9" s="186">
        <v>269.5</v>
      </c>
      <c r="I9" s="186">
        <v>165.3</v>
      </c>
      <c r="J9" s="186">
        <v>65.400000000000006</v>
      </c>
      <c r="K9" s="186">
        <v>500.2</v>
      </c>
      <c r="L9" s="64">
        <f t="shared" si="0"/>
        <v>41.199999999999989</v>
      </c>
      <c r="M9" s="64">
        <f t="shared" si="1"/>
        <v>8.2367053178728487</v>
      </c>
      <c r="N9" s="18"/>
      <c r="O9" s="18"/>
      <c r="P9" s="18"/>
      <c r="Q9" s="18"/>
      <c r="R9" s="18"/>
      <c r="S9" s="18"/>
      <c r="T9" s="18"/>
      <c r="U9" s="18"/>
      <c r="V9" s="18"/>
      <c r="W9" s="18"/>
      <c r="X9" s="18"/>
      <c r="Y9" s="18"/>
      <c r="Z9" s="18"/>
    </row>
    <row r="10" spans="1:26" ht="28.5" customHeight="1" x14ac:dyDescent="0.25">
      <c r="A10" s="11" t="s">
        <v>49</v>
      </c>
      <c r="B10" s="11"/>
      <c r="C10" s="11" t="s">
        <v>49</v>
      </c>
      <c r="D10" s="186">
        <v>470.8</v>
      </c>
      <c r="E10" s="186">
        <v>71.2</v>
      </c>
      <c r="F10" s="186">
        <v>103.8</v>
      </c>
      <c r="G10" s="186">
        <v>645.79999999999995</v>
      </c>
      <c r="H10" s="186">
        <v>567.79999999999995</v>
      </c>
      <c r="I10" s="186">
        <v>59.9</v>
      </c>
      <c r="J10" s="186">
        <v>107</v>
      </c>
      <c r="K10" s="186">
        <v>734.7</v>
      </c>
      <c r="L10" s="64">
        <f t="shared" si="0"/>
        <v>-88.900000000000091</v>
      </c>
      <c r="M10" s="64">
        <f t="shared" si="1"/>
        <v>-12.100176942969931</v>
      </c>
      <c r="N10" s="18"/>
      <c r="O10" s="18"/>
      <c r="P10" s="18"/>
      <c r="Q10" s="18"/>
      <c r="R10" s="18"/>
      <c r="S10" s="18"/>
      <c r="T10" s="18"/>
      <c r="U10" s="18"/>
      <c r="V10" s="18"/>
      <c r="W10" s="18"/>
      <c r="X10" s="18"/>
      <c r="Y10" s="18"/>
      <c r="Z10" s="18"/>
    </row>
    <row r="11" spans="1:26" ht="28.5" customHeight="1" x14ac:dyDescent="0.25">
      <c r="A11" s="24" t="s">
        <v>43</v>
      </c>
      <c r="B11" s="24"/>
      <c r="C11" s="24" t="s">
        <v>43</v>
      </c>
      <c r="D11" s="186">
        <v>26.9</v>
      </c>
      <c r="E11" s="186">
        <v>88.3</v>
      </c>
      <c r="F11" s="186">
        <v>27.2</v>
      </c>
      <c r="G11" s="186">
        <v>142.4</v>
      </c>
      <c r="H11" s="186">
        <v>31.4</v>
      </c>
      <c r="I11" s="186">
        <v>41.3</v>
      </c>
      <c r="J11" s="186">
        <v>27.6</v>
      </c>
      <c r="K11" s="186">
        <v>100.3</v>
      </c>
      <c r="L11" s="64">
        <f t="shared" si="0"/>
        <v>42.100000000000009</v>
      </c>
      <c r="M11" s="64">
        <f t="shared" si="1"/>
        <v>41.974077766699907</v>
      </c>
      <c r="N11" s="18"/>
      <c r="O11" s="18"/>
      <c r="P11" s="18"/>
      <c r="Q11" s="18"/>
      <c r="R11" s="18"/>
      <c r="S11" s="18"/>
      <c r="T11" s="18"/>
      <c r="U11" s="18"/>
      <c r="V11" s="18"/>
      <c r="W11" s="18"/>
      <c r="X11" s="18"/>
      <c r="Y11" s="18"/>
      <c r="Z11" s="18"/>
    </row>
    <row r="12" spans="1:26" ht="28.5" customHeight="1" x14ac:dyDescent="0.25">
      <c r="A12" s="11" t="s">
        <v>177</v>
      </c>
      <c r="B12" s="11"/>
      <c r="C12" s="11"/>
      <c r="D12" s="186">
        <v>174</v>
      </c>
      <c r="E12" s="186">
        <v>142.19999999999999</v>
      </c>
      <c r="F12" s="186">
        <v>276.7</v>
      </c>
      <c r="G12" s="186">
        <v>592.9</v>
      </c>
      <c r="H12" s="186">
        <v>199.6</v>
      </c>
      <c r="I12" s="186">
        <v>198.1</v>
      </c>
      <c r="J12" s="186">
        <v>274.39999999999998</v>
      </c>
      <c r="K12" s="186">
        <v>672.1</v>
      </c>
      <c r="L12" s="64">
        <f t="shared" si="0"/>
        <v>-79.200000000000045</v>
      </c>
      <c r="M12" s="64">
        <f t="shared" si="1"/>
        <v>-11.78396072013094</v>
      </c>
      <c r="N12" s="18"/>
      <c r="O12" s="18"/>
      <c r="P12" s="18"/>
      <c r="Q12" s="18"/>
      <c r="R12" s="18"/>
      <c r="S12" s="18"/>
      <c r="T12" s="18"/>
      <c r="U12" s="18"/>
      <c r="V12" s="18"/>
      <c r="W12" s="18"/>
      <c r="X12" s="18"/>
      <c r="Y12" s="18"/>
      <c r="Z12" s="18"/>
    </row>
    <row r="13" spans="1:26" ht="28.5" customHeight="1" x14ac:dyDescent="0.25">
      <c r="A13" s="26" t="s">
        <v>101</v>
      </c>
      <c r="B13" s="26"/>
      <c r="C13" s="26"/>
      <c r="D13" s="27">
        <v>3023.3</v>
      </c>
      <c r="E13" s="27">
        <v>3080.7</v>
      </c>
      <c r="F13" s="27">
        <v>2128.1999999999998</v>
      </c>
      <c r="G13" s="27">
        <v>8232.2000000000007</v>
      </c>
      <c r="H13" s="27">
        <v>3035</v>
      </c>
      <c r="I13" s="27">
        <v>2930.7</v>
      </c>
      <c r="J13" s="27">
        <v>2241.3000000000002</v>
      </c>
      <c r="K13" s="27">
        <v>8207</v>
      </c>
      <c r="L13" s="102">
        <f t="shared" si="0"/>
        <v>25.200000000000728</v>
      </c>
      <c r="M13" s="200">
        <f t="shared" si="1"/>
        <v>0.30705495308883546</v>
      </c>
      <c r="N13" s="145"/>
      <c r="O13" s="85"/>
      <c r="P13" s="85"/>
      <c r="Q13" s="85"/>
      <c r="R13" s="85"/>
      <c r="S13" s="85"/>
      <c r="T13" s="85"/>
      <c r="U13" s="85"/>
      <c r="V13" s="85"/>
      <c r="W13" s="85"/>
      <c r="X13" s="85"/>
      <c r="Y13" s="85"/>
      <c r="Z13" s="85"/>
    </row>
    <row r="14" spans="1:26" ht="28.5" customHeight="1" x14ac:dyDescent="0.25">
      <c r="A14" s="26" t="s">
        <v>165</v>
      </c>
      <c r="B14" s="26"/>
      <c r="C14" s="26"/>
      <c r="D14" s="92"/>
      <c r="E14" s="92"/>
      <c r="F14" s="92"/>
      <c r="G14" s="92">
        <v>90.3</v>
      </c>
      <c r="H14" s="102"/>
      <c r="I14" s="102"/>
      <c r="J14" s="102"/>
      <c r="K14" s="102">
        <v>101.7</v>
      </c>
      <c r="L14" s="102">
        <f t="shared" si="0"/>
        <v>-11.400000000000006</v>
      </c>
      <c r="M14" s="102">
        <f t="shared" si="1"/>
        <v>-11.209439528023605</v>
      </c>
      <c r="N14" s="145"/>
      <c r="O14" s="85"/>
      <c r="P14" s="85"/>
      <c r="Q14" s="85"/>
      <c r="R14" s="85"/>
      <c r="S14" s="85"/>
      <c r="T14" s="85"/>
      <c r="U14" s="85"/>
      <c r="V14" s="85"/>
      <c r="W14" s="85"/>
      <c r="X14" s="85"/>
      <c r="Y14" s="85"/>
      <c r="Z14" s="85"/>
    </row>
    <row r="15" spans="1:26" ht="28.5" customHeight="1" x14ac:dyDescent="0.25">
      <c r="A15" s="26" t="s">
        <v>101</v>
      </c>
      <c r="B15" s="26"/>
      <c r="C15" s="26"/>
      <c r="D15" s="27"/>
      <c r="E15" s="27"/>
      <c r="F15" s="27"/>
      <c r="G15" s="27">
        <v>8322.5</v>
      </c>
      <c r="H15" s="27"/>
      <c r="I15" s="27"/>
      <c r="J15" s="27"/>
      <c r="K15" s="27">
        <v>8308.7000000000007</v>
      </c>
      <c r="L15" s="102">
        <f t="shared" si="0"/>
        <v>13.799999999999272</v>
      </c>
      <c r="M15" s="200">
        <f t="shared" si="1"/>
        <v>0.16609096489221264</v>
      </c>
      <c r="N15" s="145"/>
      <c r="O15" s="85"/>
      <c r="P15" s="85"/>
      <c r="Q15" s="85"/>
      <c r="R15" s="85"/>
      <c r="S15" s="85"/>
      <c r="T15" s="85"/>
      <c r="U15" s="85"/>
      <c r="V15" s="85"/>
      <c r="W15" s="85"/>
      <c r="X15" s="85"/>
      <c r="Y15" s="85"/>
      <c r="Z15" s="85"/>
    </row>
  </sheetData>
  <pageMargins left="0.7" right="0.7" top="0.75" bottom="0.75" header="0" footer="0"/>
  <pageSetup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2A5DB0"/>
    <outlinePr summaryBelow="0" summaryRight="0"/>
  </sheetPr>
  <dimension ref="A1:T14"/>
  <sheetViews>
    <sheetView workbookViewId="0">
      <pane ySplit="1" topLeftCell="A2" activePane="bottomLeft" state="frozen"/>
      <selection pane="bottomLeft"/>
    </sheetView>
  </sheetViews>
  <sheetFormatPr defaultColWidth="14.44140625" defaultRowHeight="15.75" customHeight="1" x14ac:dyDescent="0.25"/>
  <cols>
    <col min="1" max="1" width="28" customWidth="1"/>
    <col min="2" max="2" width="20.33203125" customWidth="1"/>
    <col min="3" max="3" width="26.88671875" customWidth="1"/>
    <col min="4" max="4" width="20.44140625" customWidth="1"/>
    <col min="5" max="5" width="23.33203125" customWidth="1"/>
    <col min="6" max="6" width="14.33203125" customWidth="1"/>
    <col min="7" max="7" width="13" customWidth="1"/>
    <col min="8" max="20" width="9.109375" customWidth="1"/>
  </cols>
  <sheetData>
    <row r="1" spans="1:20" ht="39" customHeight="1" x14ac:dyDescent="0.25">
      <c r="A1" s="183" t="s">
        <v>1775</v>
      </c>
      <c r="B1" s="184" t="s">
        <v>10</v>
      </c>
      <c r="C1" s="184" t="s">
        <v>11</v>
      </c>
      <c r="D1" s="182" t="s">
        <v>1772</v>
      </c>
      <c r="E1" s="182" t="s">
        <v>1773</v>
      </c>
      <c r="F1" s="181" t="s">
        <v>1682</v>
      </c>
      <c r="G1" s="181" t="s">
        <v>1683</v>
      </c>
      <c r="H1" s="18"/>
      <c r="I1" s="18"/>
      <c r="J1" s="18"/>
      <c r="K1" s="18"/>
      <c r="L1" s="18"/>
      <c r="M1" s="18"/>
      <c r="N1" s="18"/>
      <c r="O1" s="18"/>
      <c r="P1" s="18"/>
      <c r="Q1" s="18"/>
      <c r="R1" s="18"/>
      <c r="S1" s="18"/>
      <c r="T1" s="18"/>
    </row>
    <row r="2" spans="1:20" ht="28.5" customHeight="1" x14ac:dyDescent="0.25">
      <c r="A2" s="185" t="s">
        <v>575</v>
      </c>
      <c r="B2" s="185" t="s">
        <v>576</v>
      </c>
      <c r="C2" s="185" t="s">
        <v>62</v>
      </c>
      <c r="D2" s="186">
        <v>1058</v>
      </c>
      <c r="E2" s="186">
        <v>2888</v>
      </c>
      <c r="F2" s="64">
        <f t="shared" ref="F2:F13" si="0">D2-E2</f>
        <v>-1830</v>
      </c>
      <c r="G2" s="64">
        <f t="shared" ref="G2:G13" si="1">(F2/E2)*100</f>
        <v>-63.365650969529085</v>
      </c>
      <c r="H2" s="18"/>
      <c r="I2" s="18"/>
      <c r="J2" s="18"/>
      <c r="K2" s="18"/>
      <c r="L2" s="18"/>
      <c r="M2" s="18"/>
      <c r="N2" s="18"/>
      <c r="O2" s="18"/>
      <c r="P2" s="18"/>
      <c r="Q2" s="18"/>
      <c r="R2" s="18"/>
      <c r="S2" s="18"/>
      <c r="T2" s="18"/>
    </row>
    <row r="3" spans="1:20" ht="28.5" customHeight="1" x14ac:dyDescent="0.25">
      <c r="A3" s="185" t="s">
        <v>286</v>
      </c>
      <c r="B3" s="186" t="s">
        <v>287</v>
      </c>
      <c r="C3" s="186" t="s">
        <v>129</v>
      </c>
      <c r="D3" s="186">
        <v>1191</v>
      </c>
      <c r="E3" s="186">
        <v>1506</v>
      </c>
      <c r="F3" s="64">
        <f t="shared" si="0"/>
        <v>-315</v>
      </c>
      <c r="G3" s="64">
        <f t="shared" si="1"/>
        <v>-20.916334661354583</v>
      </c>
      <c r="H3" s="18"/>
      <c r="I3" s="18"/>
      <c r="J3" s="18"/>
      <c r="K3" s="18"/>
      <c r="L3" s="18"/>
      <c r="M3" s="18"/>
      <c r="N3" s="18"/>
      <c r="O3" s="18"/>
      <c r="P3" s="18"/>
      <c r="Q3" s="18"/>
      <c r="R3" s="18"/>
      <c r="S3" s="18"/>
      <c r="T3" s="18"/>
    </row>
    <row r="4" spans="1:20" ht="28.5" customHeight="1" x14ac:dyDescent="0.25">
      <c r="A4" s="185" t="s">
        <v>1659</v>
      </c>
      <c r="B4" s="186" t="s">
        <v>559</v>
      </c>
      <c r="C4" s="186" t="s">
        <v>129</v>
      </c>
      <c r="D4" s="186">
        <v>601</v>
      </c>
      <c r="E4" s="186">
        <v>735</v>
      </c>
      <c r="F4" s="64">
        <f t="shared" si="0"/>
        <v>-134</v>
      </c>
      <c r="G4" s="64">
        <f t="shared" si="1"/>
        <v>-18.231292517006803</v>
      </c>
      <c r="H4" s="18"/>
      <c r="I4" s="18"/>
      <c r="J4" s="18"/>
      <c r="K4" s="18"/>
      <c r="L4" s="18"/>
      <c r="M4" s="18"/>
      <c r="N4" s="18"/>
      <c r="O4" s="18"/>
      <c r="P4" s="18"/>
      <c r="Q4" s="18"/>
      <c r="R4" s="18"/>
      <c r="S4" s="18"/>
      <c r="T4" s="18"/>
    </row>
    <row r="5" spans="1:20" ht="28.5" customHeight="1" x14ac:dyDescent="0.25">
      <c r="A5" s="185" t="s">
        <v>1660</v>
      </c>
      <c r="B5" s="186" t="s">
        <v>273</v>
      </c>
      <c r="C5" s="186" t="s">
        <v>126</v>
      </c>
      <c r="D5" s="186">
        <v>428</v>
      </c>
      <c r="E5" s="186">
        <v>526</v>
      </c>
      <c r="F5" s="64">
        <f t="shared" si="0"/>
        <v>-98</v>
      </c>
      <c r="G5" s="64">
        <f t="shared" si="1"/>
        <v>-18.631178707224336</v>
      </c>
      <c r="H5" s="18"/>
      <c r="I5" s="18"/>
      <c r="J5" s="18"/>
      <c r="K5" s="18"/>
      <c r="L5" s="18"/>
      <c r="M5" s="18"/>
      <c r="N5" s="18"/>
      <c r="O5" s="18"/>
      <c r="P5" s="18"/>
      <c r="Q5" s="18"/>
      <c r="R5" s="18"/>
      <c r="S5" s="18"/>
      <c r="T5" s="18"/>
    </row>
    <row r="6" spans="1:20" ht="28.5" customHeight="1" x14ac:dyDescent="0.25">
      <c r="A6" s="185" t="s">
        <v>1661</v>
      </c>
      <c r="B6" s="186" t="s">
        <v>1662</v>
      </c>
      <c r="C6" s="186" t="s">
        <v>81</v>
      </c>
      <c r="D6" s="186">
        <v>342</v>
      </c>
      <c r="E6" s="186">
        <v>379</v>
      </c>
      <c r="F6" s="64">
        <f t="shared" si="0"/>
        <v>-37</v>
      </c>
      <c r="G6" s="64">
        <f t="shared" si="1"/>
        <v>-9.7625329815303434</v>
      </c>
      <c r="H6" s="18"/>
      <c r="I6" s="18"/>
      <c r="J6" s="18"/>
      <c r="K6" s="18"/>
      <c r="L6" s="18"/>
      <c r="M6" s="18"/>
      <c r="N6" s="18"/>
      <c r="O6" s="18"/>
      <c r="P6" s="18"/>
      <c r="Q6" s="18"/>
      <c r="R6" s="18"/>
      <c r="S6" s="18"/>
      <c r="T6" s="18"/>
    </row>
    <row r="7" spans="1:20" ht="28.5" customHeight="1" x14ac:dyDescent="0.25">
      <c r="A7" s="185" t="s">
        <v>1663</v>
      </c>
      <c r="B7" s="186" t="s">
        <v>1664</v>
      </c>
      <c r="C7" s="186" t="s">
        <v>62</v>
      </c>
      <c r="D7" s="186">
        <v>242</v>
      </c>
      <c r="E7" s="186">
        <v>242</v>
      </c>
      <c r="F7" s="64">
        <f t="shared" si="0"/>
        <v>0</v>
      </c>
      <c r="G7" s="64">
        <f t="shared" si="1"/>
        <v>0</v>
      </c>
      <c r="H7" s="18"/>
      <c r="I7" s="18"/>
      <c r="J7" s="18"/>
      <c r="K7" s="18"/>
      <c r="L7" s="18"/>
      <c r="M7" s="18"/>
      <c r="N7" s="18"/>
      <c r="O7" s="18"/>
      <c r="P7" s="18"/>
      <c r="Q7" s="18"/>
      <c r="R7" s="18"/>
      <c r="S7" s="18"/>
      <c r="T7" s="18"/>
    </row>
    <row r="8" spans="1:20" ht="28.5" customHeight="1" x14ac:dyDescent="0.25">
      <c r="A8" s="185" t="s">
        <v>1665</v>
      </c>
      <c r="B8" s="186" t="s">
        <v>1666</v>
      </c>
      <c r="C8" s="186" t="s">
        <v>62</v>
      </c>
      <c r="D8" s="186">
        <v>233</v>
      </c>
      <c r="E8" s="186">
        <v>217</v>
      </c>
      <c r="F8" s="64">
        <f t="shared" si="0"/>
        <v>16</v>
      </c>
      <c r="G8" s="64">
        <f t="shared" si="1"/>
        <v>7.3732718894009217</v>
      </c>
      <c r="H8" s="18"/>
      <c r="I8" s="18"/>
      <c r="J8" s="18"/>
      <c r="K8" s="18"/>
      <c r="L8" s="18"/>
      <c r="M8" s="18"/>
      <c r="N8" s="18"/>
      <c r="O8" s="18"/>
      <c r="P8" s="18"/>
      <c r="Q8" s="18"/>
      <c r="R8" s="18"/>
      <c r="S8" s="18"/>
      <c r="T8" s="18"/>
    </row>
    <row r="9" spans="1:20" ht="28.5" customHeight="1" x14ac:dyDescent="0.25">
      <c r="A9" s="185" t="s">
        <v>1667</v>
      </c>
      <c r="B9" s="11" t="s">
        <v>1289</v>
      </c>
      <c r="C9" s="11" t="s">
        <v>43</v>
      </c>
      <c r="D9" s="186">
        <v>194</v>
      </c>
      <c r="E9" s="186">
        <v>197</v>
      </c>
      <c r="F9" s="64">
        <f t="shared" si="0"/>
        <v>-3</v>
      </c>
      <c r="G9" s="64">
        <f t="shared" si="1"/>
        <v>-1.5228426395939088</v>
      </c>
      <c r="H9" s="18"/>
      <c r="I9" s="18"/>
      <c r="J9" s="18"/>
      <c r="K9" s="18"/>
      <c r="L9" s="18"/>
      <c r="M9" s="18"/>
      <c r="N9" s="18"/>
      <c r="O9" s="18"/>
      <c r="P9" s="18"/>
      <c r="Q9" s="18"/>
      <c r="R9" s="18"/>
      <c r="S9" s="18"/>
      <c r="T9" s="18"/>
    </row>
    <row r="10" spans="1:20" ht="28.5" customHeight="1" x14ac:dyDescent="0.25">
      <c r="A10" s="185" t="s">
        <v>1668</v>
      </c>
      <c r="B10" s="186" t="s">
        <v>1669</v>
      </c>
      <c r="C10" s="186" t="s">
        <v>72</v>
      </c>
      <c r="D10" s="186">
        <v>188</v>
      </c>
      <c r="E10" s="186">
        <v>201</v>
      </c>
      <c r="F10" s="64">
        <f t="shared" si="0"/>
        <v>-13</v>
      </c>
      <c r="G10" s="64">
        <f t="shared" si="1"/>
        <v>-6.467661691542288</v>
      </c>
      <c r="H10" s="18"/>
      <c r="I10" s="18"/>
      <c r="J10" s="18"/>
      <c r="K10" s="18"/>
      <c r="L10" s="18"/>
      <c r="M10" s="18"/>
      <c r="N10" s="18"/>
      <c r="O10" s="18"/>
      <c r="P10" s="18"/>
      <c r="Q10" s="18"/>
      <c r="R10" s="18"/>
      <c r="S10" s="18"/>
      <c r="T10" s="18"/>
    </row>
    <row r="11" spans="1:20" ht="28.5" customHeight="1" x14ac:dyDescent="0.25">
      <c r="A11" s="185" t="s">
        <v>1670</v>
      </c>
      <c r="B11" s="186" t="s">
        <v>1671</v>
      </c>
      <c r="C11" s="186" t="s">
        <v>62</v>
      </c>
      <c r="D11" s="186">
        <v>149</v>
      </c>
      <c r="E11" s="186">
        <v>147</v>
      </c>
      <c r="F11" s="64">
        <f t="shared" si="0"/>
        <v>2</v>
      </c>
      <c r="G11" s="64">
        <f t="shared" si="1"/>
        <v>1.3605442176870748</v>
      </c>
      <c r="H11" s="18"/>
      <c r="I11" s="18"/>
      <c r="J11" s="18"/>
      <c r="K11" s="18"/>
      <c r="L11" s="18"/>
      <c r="M11" s="18"/>
      <c r="N11" s="18"/>
      <c r="O11" s="18"/>
      <c r="P11" s="18"/>
      <c r="Q11" s="18"/>
      <c r="R11" s="18"/>
      <c r="S11" s="18"/>
      <c r="T11" s="18"/>
    </row>
    <row r="12" spans="1:20" ht="28.5" customHeight="1" x14ac:dyDescent="0.25">
      <c r="A12" s="185" t="s">
        <v>1672</v>
      </c>
      <c r="B12" s="187"/>
      <c r="C12" s="187"/>
      <c r="D12" s="186">
        <v>1317</v>
      </c>
      <c r="E12" s="186">
        <v>1496</v>
      </c>
      <c r="F12" s="64">
        <f t="shared" si="0"/>
        <v>-179</v>
      </c>
      <c r="G12" s="64">
        <f t="shared" si="1"/>
        <v>-11.965240641711231</v>
      </c>
      <c r="H12" s="18"/>
      <c r="I12" s="18"/>
      <c r="J12" s="18"/>
      <c r="K12" s="18"/>
      <c r="L12" s="18"/>
      <c r="M12" s="18"/>
      <c r="N12" s="18"/>
      <c r="O12" s="18"/>
      <c r="P12" s="18"/>
      <c r="Q12" s="18"/>
      <c r="R12" s="18"/>
      <c r="S12" s="18"/>
      <c r="T12" s="18"/>
    </row>
    <row r="13" spans="1:20" ht="28.5" customHeight="1" x14ac:dyDescent="0.25">
      <c r="A13" s="26" t="s">
        <v>101</v>
      </c>
      <c r="B13" s="26"/>
      <c r="C13" s="26"/>
      <c r="D13" s="27">
        <v>5944</v>
      </c>
      <c r="E13" s="27">
        <v>8535</v>
      </c>
      <c r="F13" s="102">
        <f t="shared" si="0"/>
        <v>-2591</v>
      </c>
      <c r="G13" s="102">
        <f t="shared" si="1"/>
        <v>-30.357352079671941</v>
      </c>
      <c r="H13" s="18"/>
      <c r="I13" s="18"/>
      <c r="J13" s="18"/>
      <c r="K13" s="18"/>
      <c r="L13" s="18"/>
      <c r="M13" s="18"/>
      <c r="N13" s="18"/>
      <c r="O13" s="18"/>
      <c r="P13" s="18"/>
      <c r="Q13" s="18"/>
      <c r="R13" s="18"/>
      <c r="S13" s="18"/>
      <c r="T13" s="18"/>
    </row>
    <row r="14" spans="1:20" ht="45.75" customHeight="1" x14ac:dyDescent="0.25">
      <c r="A14" s="301" t="s">
        <v>1776</v>
      </c>
      <c r="B14" s="299"/>
      <c r="C14" s="299"/>
      <c r="D14" s="299"/>
      <c r="E14" s="299"/>
      <c r="F14" s="299"/>
      <c r="G14" s="300"/>
      <c r="H14" s="18"/>
      <c r="I14" s="18"/>
      <c r="J14" s="18"/>
      <c r="K14" s="18"/>
      <c r="L14" s="18"/>
      <c r="M14" s="18"/>
      <c r="N14" s="18"/>
      <c r="O14" s="18"/>
      <c r="P14" s="18"/>
      <c r="Q14" s="18"/>
      <c r="R14" s="18"/>
      <c r="S14" s="18"/>
      <c r="T14" s="18"/>
    </row>
  </sheetData>
  <mergeCells count="1">
    <mergeCell ref="A14:G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A5DB0"/>
  </sheetPr>
  <dimension ref="A1:K35"/>
  <sheetViews>
    <sheetView workbookViewId="0">
      <pane ySplit="1" topLeftCell="A2" activePane="bottomLeft" state="frozen"/>
      <selection pane="bottomLeft"/>
    </sheetView>
  </sheetViews>
  <sheetFormatPr defaultColWidth="14.44140625" defaultRowHeight="15.75" customHeight="1" x14ac:dyDescent="0.25"/>
  <cols>
    <col min="1" max="1" width="24.5546875" customWidth="1"/>
    <col min="2" max="2" width="22" customWidth="1"/>
    <col min="3" max="3" width="23.44140625" customWidth="1"/>
    <col min="4" max="7" width="16.6640625" customWidth="1"/>
    <col min="8" max="9" width="15.6640625" customWidth="1"/>
    <col min="10" max="10" width="14.109375" customWidth="1"/>
    <col min="11" max="11" width="15.6640625" customWidth="1"/>
  </cols>
  <sheetData>
    <row r="1" spans="1:11" ht="34.5" customHeight="1" x14ac:dyDescent="0.25">
      <c r="A1" s="28" t="s">
        <v>1685</v>
      </c>
      <c r="B1" s="8" t="s">
        <v>10</v>
      </c>
      <c r="C1" s="8" t="s">
        <v>11</v>
      </c>
      <c r="D1" s="9" t="s">
        <v>1678</v>
      </c>
      <c r="E1" s="9" t="s">
        <v>1686</v>
      </c>
      <c r="F1" s="9" t="s">
        <v>1687</v>
      </c>
      <c r="G1" s="9" t="s">
        <v>1678</v>
      </c>
      <c r="H1" s="9" t="s">
        <v>1686</v>
      </c>
      <c r="I1" s="9" t="s">
        <v>1688</v>
      </c>
      <c r="J1" s="8" t="s">
        <v>1682</v>
      </c>
      <c r="K1" s="9" t="s">
        <v>1683</v>
      </c>
    </row>
    <row r="2" spans="1:11" ht="28.5" customHeight="1" x14ac:dyDescent="0.25">
      <c r="A2" s="24" t="s">
        <v>574</v>
      </c>
      <c r="B2" s="24" t="s">
        <v>139</v>
      </c>
      <c r="C2" s="24" t="s">
        <v>43</v>
      </c>
      <c r="D2" s="29">
        <v>16112</v>
      </c>
      <c r="E2" s="29">
        <v>3720</v>
      </c>
      <c r="F2" s="29">
        <v>19832</v>
      </c>
      <c r="G2" s="29">
        <v>14864</v>
      </c>
      <c r="H2" s="29">
        <v>4305</v>
      </c>
      <c r="I2" s="29">
        <v>19169</v>
      </c>
      <c r="J2" s="29">
        <f t="shared" ref="J2:J34" si="0">F2-I2</f>
        <v>663</v>
      </c>
      <c r="K2" s="14">
        <f t="shared" ref="K2:K8" si="1">(J2/I2)*100</f>
        <v>3.4587093745109292</v>
      </c>
    </row>
    <row r="3" spans="1:11" ht="28.5" customHeight="1" x14ac:dyDescent="0.25">
      <c r="A3" s="24" t="s">
        <v>41</v>
      </c>
      <c r="B3" s="24" t="s">
        <v>42</v>
      </c>
      <c r="C3" s="24" t="s">
        <v>43</v>
      </c>
      <c r="D3" s="29">
        <v>1385</v>
      </c>
      <c r="E3" s="29">
        <v>205</v>
      </c>
      <c r="F3" s="29">
        <v>1590</v>
      </c>
      <c r="G3" s="29">
        <v>311</v>
      </c>
      <c r="H3" s="29">
        <v>44</v>
      </c>
      <c r="I3" s="29">
        <v>355</v>
      </c>
      <c r="J3" s="29">
        <f t="shared" si="0"/>
        <v>1235</v>
      </c>
      <c r="K3" s="14">
        <f t="shared" si="1"/>
        <v>347.88732394366195</v>
      </c>
    </row>
    <row r="4" spans="1:11" ht="28.5" customHeight="1" x14ac:dyDescent="0.25">
      <c r="A4" s="24" t="s">
        <v>44</v>
      </c>
      <c r="B4" s="24" t="s">
        <v>45</v>
      </c>
      <c r="C4" s="24" t="s">
        <v>43</v>
      </c>
      <c r="D4" s="29">
        <v>653</v>
      </c>
      <c r="E4" s="29">
        <v>78</v>
      </c>
      <c r="F4" s="29">
        <v>731</v>
      </c>
      <c r="G4" s="29">
        <v>47</v>
      </c>
      <c r="H4" s="29">
        <v>0</v>
      </c>
      <c r="I4" s="29">
        <v>47</v>
      </c>
      <c r="J4" s="29">
        <f t="shared" si="0"/>
        <v>684</v>
      </c>
      <c r="K4" s="14">
        <f t="shared" si="1"/>
        <v>1455.3191489361702</v>
      </c>
    </row>
    <row r="5" spans="1:11" ht="28.5" customHeight="1" x14ac:dyDescent="0.25">
      <c r="A5" s="30" t="s">
        <v>43</v>
      </c>
      <c r="B5" s="30"/>
      <c r="C5" s="30" t="s">
        <v>43</v>
      </c>
      <c r="D5" s="22">
        <f t="shared" ref="D5:F5" si="2">D2+D3+D4</f>
        <v>18150</v>
      </c>
      <c r="E5" s="22">
        <f t="shared" si="2"/>
        <v>4003</v>
      </c>
      <c r="F5" s="22">
        <f t="shared" si="2"/>
        <v>22153</v>
      </c>
      <c r="G5" s="22">
        <v>15222</v>
      </c>
      <c r="H5" s="22">
        <v>4349</v>
      </c>
      <c r="I5" s="22">
        <v>19571</v>
      </c>
      <c r="J5" s="22">
        <f t="shared" si="0"/>
        <v>2582</v>
      </c>
      <c r="K5" s="22">
        <f t="shared" si="1"/>
        <v>13.192989627510091</v>
      </c>
    </row>
    <row r="6" spans="1:11" ht="28.5" customHeight="1" x14ac:dyDescent="0.25">
      <c r="A6" s="24" t="s">
        <v>47</v>
      </c>
      <c r="B6" s="24" t="s">
        <v>48</v>
      </c>
      <c r="C6" s="24" t="s">
        <v>49</v>
      </c>
      <c r="D6" s="25">
        <v>4305</v>
      </c>
      <c r="E6" s="25">
        <v>1009</v>
      </c>
      <c r="F6" s="25">
        <v>5314</v>
      </c>
      <c r="G6" s="25">
        <v>3830</v>
      </c>
      <c r="H6" s="25">
        <v>844</v>
      </c>
      <c r="I6" s="25">
        <v>4674</v>
      </c>
      <c r="J6" s="29">
        <f t="shared" si="0"/>
        <v>640</v>
      </c>
      <c r="K6" s="14">
        <f t="shared" si="1"/>
        <v>13.692768506632436</v>
      </c>
    </row>
    <row r="7" spans="1:11" ht="28.5" customHeight="1" x14ac:dyDescent="0.25">
      <c r="A7" s="24" t="s">
        <v>50</v>
      </c>
      <c r="B7" s="24" t="s">
        <v>51</v>
      </c>
      <c r="C7" s="24" t="s">
        <v>49</v>
      </c>
      <c r="D7" s="24">
        <v>804</v>
      </c>
      <c r="E7" s="24">
        <v>533</v>
      </c>
      <c r="F7" s="24">
        <v>1337</v>
      </c>
      <c r="G7" s="24">
        <v>521</v>
      </c>
      <c r="H7" s="25">
        <v>271</v>
      </c>
      <c r="I7" s="25">
        <v>792</v>
      </c>
      <c r="J7" s="29">
        <f t="shared" si="0"/>
        <v>545</v>
      </c>
      <c r="K7" s="14">
        <f t="shared" si="1"/>
        <v>68.813131313131322</v>
      </c>
    </row>
    <row r="8" spans="1:11" ht="28.5" customHeight="1" x14ac:dyDescent="0.25">
      <c r="A8" s="30" t="s">
        <v>52</v>
      </c>
      <c r="B8" s="30"/>
      <c r="C8" s="31" t="s">
        <v>49</v>
      </c>
      <c r="D8" s="22">
        <f t="shared" ref="D8:F8" si="3">D6+D7</f>
        <v>5109</v>
      </c>
      <c r="E8" s="22">
        <f t="shared" si="3"/>
        <v>1542</v>
      </c>
      <c r="F8" s="22">
        <f t="shared" si="3"/>
        <v>6651</v>
      </c>
      <c r="G8" s="22">
        <v>4351</v>
      </c>
      <c r="H8" s="22">
        <v>1115</v>
      </c>
      <c r="I8" s="22">
        <v>5466</v>
      </c>
      <c r="J8" s="22">
        <f t="shared" si="0"/>
        <v>1185</v>
      </c>
      <c r="K8" s="22">
        <f t="shared" si="1"/>
        <v>21.679473106476401</v>
      </c>
    </row>
    <row r="9" spans="1:11" ht="28.5" customHeight="1" x14ac:dyDescent="0.25">
      <c r="A9" s="24" t="s">
        <v>53</v>
      </c>
      <c r="B9" s="32"/>
      <c r="C9" s="32"/>
      <c r="D9" s="33">
        <v>687</v>
      </c>
      <c r="E9" s="33">
        <v>425</v>
      </c>
      <c r="F9" s="33">
        <v>1112</v>
      </c>
      <c r="G9" s="29">
        <v>0</v>
      </c>
      <c r="H9" s="29">
        <v>0</v>
      </c>
      <c r="I9" s="29">
        <v>0</v>
      </c>
      <c r="J9" s="29">
        <f t="shared" si="0"/>
        <v>1112</v>
      </c>
      <c r="K9" s="14">
        <v>100</v>
      </c>
    </row>
    <row r="10" spans="1:11" ht="28.5" customHeight="1" x14ac:dyDescent="0.25">
      <c r="A10" s="24" t="s">
        <v>54</v>
      </c>
      <c r="B10" s="24" t="s">
        <v>55</v>
      </c>
      <c r="C10" s="24" t="s">
        <v>56</v>
      </c>
      <c r="D10" s="33">
        <v>318</v>
      </c>
      <c r="E10" s="33">
        <v>400</v>
      </c>
      <c r="F10" s="33">
        <v>718</v>
      </c>
      <c r="G10" s="29">
        <v>0</v>
      </c>
      <c r="H10" s="29">
        <v>0</v>
      </c>
      <c r="I10" s="29">
        <v>0</v>
      </c>
      <c r="J10" s="29">
        <f t="shared" si="0"/>
        <v>718</v>
      </c>
      <c r="K10" s="14">
        <v>100</v>
      </c>
    </row>
    <row r="11" spans="1:11" ht="28.5" customHeight="1" x14ac:dyDescent="0.25">
      <c r="A11" s="24" t="s">
        <v>57</v>
      </c>
      <c r="B11" s="32"/>
      <c r="C11" s="32"/>
      <c r="D11" s="33">
        <v>666</v>
      </c>
      <c r="E11" s="33">
        <v>94</v>
      </c>
      <c r="F11" s="33">
        <v>760</v>
      </c>
      <c r="G11" s="29">
        <v>0</v>
      </c>
      <c r="H11" s="29">
        <v>0</v>
      </c>
      <c r="I11" s="29">
        <v>0</v>
      </c>
      <c r="J11" s="29">
        <f t="shared" si="0"/>
        <v>760</v>
      </c>
      <c r="K11" s="14">
        <v>100</v>
      </c>
    </row>
    <row r="12" spans="1:11" ht="28.5" customHeight="1" x14ac:dyDescent="0.25">
      <c r="A12" s="30" t="s">
        <v>58</v>
      </c>
      <c r="B12" s="30"/>
      <c r="C12" s="30"/>
      <c r="D12" s="22">
        <f t="shared" ref="D12:F12" si="4">D9+D10+D11</f>
        <v>1671</v>
      </c>
      <c r="E12" s="22">
        <f t="shared" si="4"/>
        <v>919</v>
      </c>
      <c r="F12" s="22">
        <f t="shared" si="4"/>
        <v>2590</v>
      </c>
      <c r="G12" s="22">
        <v>0</v>
      </c>
      <c r="H12" s="22">
        <v>0</v>
      </c>
      <c r="I12" s="22">
        <v>0</v>
      </c>
      <c r="J12" s="22">
        <f t="shared" si="0"/>
        <v>2590</v>
      </c>
      <c r="K12" s="22">
        <v>100</v>
      </c>
    </row>
    <row r="13" spans="1:11" ht="28.5" customHeight="1" x14ac:dyDescent="0.25">
      <c r="A13" s="24" t="s">
        <v>59</v>
      </c>
      <c r="B13" s="32"/>
      <c r="C13" s="32"/>
      <c r="D13" s="33">
        <v>1155</v>
      </c>
      <c r="E13" s="33">
        <v>232</v>
      </c>
      <c r="F13" s="33">
        <v>1387</v>
      </c>
      <c r="G13" s="29">
        <v>0</v>
      </c>
      <c r="H13" s="29">
        <v>0</v>
      </c>
      <c r="I13" s="29">
        <v>0</v>
      </c>
      <c r="J13" s="29">
        <f t="shared" si="0"/>
        <v>1387</v>
      </c>
      <c r="K13" s="14">
        <v>100</v>
      </c>
    </row>
    <row r="14" spans="1:11" ht="28.5" customHeight="1" x14ac:dyDescent="0.25">
      <c r="A14" s="24" t="s">
        <v>60</v>
      </c>
      <c r="B14" s="24" t="s">
        <v>61</v>
      </c>
      <c r="C14" s="24" t="s">
        <v>62</v>
      </c>
      <c r="D14" s="33">
        <v>951</v>
      </c>
      <c r="E14" s="33">
        <v>0</v>
      </c>
      <c r="F14" s="33">
        <f>951</f>
        <v>951</v>
      </c>
      <c r="G14" s="29">
        <v>0</v>
      </c>
      <c r="H14" s="29">
        <v>0</v>
      </c>
      <c r="I14" s="29">
        <v>0</v>
      </c>
      <c r="J14" s="29">
        <f t="shared" si="0"/>
        <v>951</v>
      </c>
      <c r="K14" s="25">
        <v>100</v>
      </c>
    </row>
    <row r="15" spans="1:11" ht="28.5" customHeight="1" x14ac:dyDescent="0.25">
      <c r="A15" s="24" t="s">
        <v>63</v>
      </c>
      <c r="B15" s="32" t="s">
        <v>64</v>
      </c>
      <c r="C15" s="32" t="s">
        <v>62</v>
      </c>
      <c r="D15" s="33">
        <v>103</v>
      </c>
      <c r="E15" s="33">
        <v>391</v>
      </c>
      <c r="F15" s="33">
        <v>494</v>
      </c>
      <c r="G15" s="33">
        <v>97</v>
      </c>
      <c r="H15" s="33">
        <v>364</v>
      </c>
      <c r="I15" s="33">
        <v>461</v>
      </c>
      <c r="J15" s="29">
        <f t="shared" si="0"/>
        <v>33</v>
      </c>
      <c r="K15" s="14">
        <f>(J15/I15)*100</f>
        <v>7.1583514099783088</v>
      </c>
    </row>
    <row r="16" spans="1:11" ht="28.5" customHeight="1" x14ac:dyDescent="0.25">
      <c r="A16" s="24" t="s">
        <v>65</v>
      </c>
      <c r="B16" s="34" t="s">
        <v>66</v>
      </c>
      <c r="C16" s="32" t="s">
        <v>62</v>
      </c>
      <c r="D16" s="33">
        <v>125</v>
      </c>
      <c r="E16" s="33">
        <v>0</v>
      </c>
      <c r="F16" s="35">
        <v>125</v>
      </c>
      <c r="G16" s="29">
        <v>0</v>
      </c>
      <c r="H16" s="29">
        <v>0</v>
      </c>
      <c r="I16" s="29">
        <v>0</v>
      </c>
      <c r="J16" s="29">
        <f t="shared" si="0"/>
        <v>125</v>
      </c>
      <c r="K16" s="14" t="s">
        <v>67</v>
      </c>
    </row>
    <row r="17" spans="1:11" ht="28.5" customHeight="1" x14ac:dyDescent="0.25">
      <c r="A17" s="24" t="s">
        <v>68</v>
      </c>
      <c r="B17" s="32"/>
      <c r="C17" s="34" t="s">
        <v>62</v>
      </c>
      <c r="D17" s="33">
        <v>528</v>
      </c>
      <c r="E17" s="33">
        <v>11</v>
      </c>
      <c r="F17" s="33">
        <v>539</v>
      </c>
      <c r="G17" s="29">
        <v>0</v>
      </c>
      <c r="H17" s="29">
        <v>0</v>
      </c>
      <c r="I17" s="29">
        <v>0</v>
      </c>
      <c r="J17" s="29">
        <f t="shared" si="0"/>
        <v>539</v>
      </c>
      <c r="K17" s="14">
        <v>100</v>
      </c>
    </row>
    <row r="18" spans="1:11" ht="28.5" customHeight="1" x14ac:dyDescent="0.25">
      <c r="A18" s="30" t="s">
        <v>69</v>
      </c>
      <c r="B18" s="30"/>
      <c r="C18" s="31" t="s">
        <v>62</v>
      </c>
      <c r="D18" s="22">
        <f t="shared" ref="D18:F18" si="5">D13+D14+D15+D16+D17</f>
        <v>2862</v>
      </c>
      <c r="E18" s="22">
        <f t="shared" si="5"/>
        <v>634</v>
      </c>
      <c r="F18" s="22">
        <f t="shared" si="5"/>
        <v>3496</v>
      </c>
      <c r="G18" s="22">
        <v>97</v>
      </c>
      <c r="H18" s="22">
        <v>364</v>
      </c>
      <c r="I18" s="22">
        <v>461</v>
      </c>
      <c r="J18" s="22">
        <f t="shared" si="0"/>
        <v>3035</v>
      </c>
      <c r="K18" s="22">
        <f>(J18/I18)*100</f>
        <v>658.35140997830808</v>
      </c>
    </row>
    <row r="19" spans="1:11" ht="28.5" customHeight="1" x14ac:dyDescent="0.25">
      <c r="A19" s="24" t="s">
        <v>70</v>
      </c>
      <c r="B19" s="24" t="s">
        <v>71</v>
      </c>
      <c r="C19" s="24" t="s">
        <v>72</v>
      </c>
      <c r="D19" s="33">
        <v>165</v>
      </c>
      <c r="E19" s="33">
        <v>213</v>
      </c>
      <c r="F19" s="33">
        <v>378</v>
      </c>
      <c r="G19" s="29">
        <v>0</v>
      </c>
      <c r="H19" s="29">
        <v>0</v>
      </c>
      <c r="I19" s="29">
        <v>0</v>
      </c>
      <c r="J19" s="29">
        <f t="shared" si="0"/>
        <v>378</v>
      </c>
      <c r="K19" s="14">
        <v>100</v>
      </c>
    </row>
    <row r="20" spans="1:11" ht="28.5" customHeight="1" x14ac:dyDescent="0.25">
      <c r="A20" s="24" t="s">
        <v>73</v>
      </c>
      <c r="B20" s="24" t="s">
        <v>74</v>
      </c>
      <c r="C20" s="24" t="s">
        <v>72</v>
      </c>
      <c r="D20" s="33">
        <v>223</v>
      </c>
      <c r="E20" s="33">
        <v>103</v>
      </c>
      <c r="F20" s="33">
        <v>326</v>
      </c>
      <c r="G20" s="29">
        <v>0</v>
      </c>
      <c r="H20" s="29">
        <v>0</v>
      </c>
      <c r="I20" s="29">
        <v>0</v>
      </c>
      <c r="J20" s="29">
        <f t="shared" si="0"/>
        <v>326</v>
      </c>
      <c r="K20" s="14">
        <v>100</v>
      </c>
    </row>
    <row r="21" spans="1:11" ht="28.5" customHeight="1" x14ac:dyDescent="0.25">
      <c r="A21" s="24" t="s">
        <v>75</v>
      </c>
      <c r="B21" s="24" t="s">
        <v>76</v>
      </c>
      <c r="C21" s="24" t="s">
        <v>43</v>
      </c>
      <c r="D21" s="33">
        <v>755</v>
      </c>
      <c r="E21" s="33">
        <v>32</v>
      </c>
      <c r="F21" s="33">
        <v>787</v>
      </c>
      <c r="G21" s="29">
        <v>0</v>
      </c>
      <c r="H21" s="29">
        <v>0</v>
      </c>
      <c r="I21" s="29">
        <v>0</v>
      </c>
      <c r="J21" s="29">
        <f t="shared" si="0"/>
        <v>787</v>
      </c>
      <c r="K21" s="14">
        <v>100</v>
      </c>
    </row>
    <row r="22" spans="1:11" ht="28.5" customHeight="1" x14ac:dyDescent="0.25">
      <c r="A22" s="24" t="s">
        <v>77</v>
      </c>
      <c r="B22" s="32"/>
      <c r="C22" s="34" t="s">
        <v>72</v>
      </c>
      <c r="D22" s="33">
        <v>305</v>
      </c>
      <c r="E22" s="33">
        <v>388</v>
      </c>
      <c r="F22" s="33">
        <v>693</v>
      </c>
      <c r="G22" s="29">
        <v>0</v>
      </c>
      <c r="H22" s="29">
        <v>0</v>
      </c>
      <c r="I22" s="29">
        <v>0</v>
      </c>
      <c r="J22" s="29">
        <f t="shared" si="0"/>
        <v>693</v>
      </c>
      <c r="K22" s="14">
        <v>100</v>
      </c>
    </row>
    <row r="23" spans="1:11" ht="28.5" customHeight="1" x14ac:dyDescent="0.25">
      <c r="A23" s="30" t="s">
        <v>78</v>
      </c>
      <c r="B23" s="30"/>
      <c r="C23" s="31" t="s">
        <v>72</v>
      </c>
      <c r="D23" s="22">
        <f t="shared" ref="D23:F23" si="6">D19+D20+D21+D22</f>
        <v>1448</v>
      </c>
      <c r="E23" s="22">
        <f t="shared" si="6"/>
        <v>736</v>
      </c>
      <c r="F23" s="22">
        <f t="shared" si="6"/>
        <v>2184</v>
      </c>
      <c r="G23" s="22">
        <v>0</v>
      </c>
      <c r="H23" s="22">
        <v>0</v>
      </c>
      <c r="I23" s="22">
        <v>0</v>
      </c>
      <c r="J23" s="22">
        <f t="shared" si="0"/>
        <v>2184</v>
      </c>
      <c r="K23" s="22">
        <v>100</v>
      </c>
    </row>
    <row r="24" spans="1:11" ht="28.5" customHeight="1" x14ac:dyDescent="0.25">
      <c r="A24" s="24" t="s">
        <v>79</v>
      </c>
      <c r="B24" s="24" t="s">
        <v>80</v>
      </c>
      <c r="C24" s="24" t="s">
        <v>81</v>
      </c>
      <c r="D24" s="33">
        <v>346</v>
      </c>
      <c r="E24" s="33">
        <v>10</v>
      </c>
      <c r="F24" s="33">
        <v>356</v>
      </c>
      <c r="G24" s="29">
        <v>0</v>
      </c>
      <c r="H24" s="29">
        <v>0</v>
      </c>
      <c r="I24" s="29">
        <v>0</v>
      </c>
      <c r="J24" s="29">
        <f t="shared" si="0"/>
        <v>356</v>
      </c>
      <c r="K24" s="14">
        <v>100</v>
      </c>
    </row>
    <row r="25" spans="1:11" ht="28.5" customHeight="1" x14ac:dyDescent="0.25">
      <c r="A25" s="24" t="s">
        <v>82</v>
      </c>
      <c r="B25" s="32" t="s">
        <v>83</v>
      </c>
      <c r="C25" s="32" t="s">
        <v>84</v>
      </c>
      <c r="D25" s="33">
        <v>121</v>
      </c>
      <c r="E25" s="33">
        <v>4</v>
      </c>
      <c r="F25" s="33">
        <v>125</v>
      </c>
      <c r="G25" s="33">
        <v>91</v>
      </c>
      <c r="H25" s="33">
        <v>2</v>
      </c>
      <c r="I25" s="33">
        <v>93</v>
      </c>
      <c r="J25" s="29">
        <f t="shared" si="0"/>
        <v>32</v>
      </c>
      <c r="K25" s="14">
        <f>(J25/I25)*100</f>
        <v>34.408602150537639</v>
      </c>
    </row>
    <row r="26" spans="1:11" ht="28.5" customHeight="1" x14ac:dyDescent="0.25">
      <c r="A26" s="24" t="s">
        <v>85</v>
      </c>
      <c r="B26" s="32"/>
      <c r="C26" s="36" t="s">
        <v>84</v>
      </c>
      <c r="D26" s="33">
        <v>181</v>
      </c>
      <c r="E26" s="33">
        <v>11</v>
      </c>
      <c r="F26" s="33">
        <v>192</v>
      </c>
      <c r="G26" s="29">
        <v>0</v>
      </c>
      <c r="H26" s="29">
        <v>0</v>
      </c>
      <c r="I26" s="29">
        <v>0</v>
      </c>
      <c r="J26" s="29">
        <f t="shared" si="0"/>
        <v>192</v>
      </c>
      <c r="K26" s="14">
        <v>100</v>
      </c>
    </row>
    <row r="27" spans="1:11" ht="28.5" customHeight="1" x14ac:dyDescent="0.25">
      <c r="A27" s="30" t="s">
        <v>86</v>
      </c>
      <c r="B27" s="30"/>
      <c r="C27" s="31" t="s">
        <v>84</v>
      </c>
      <c r="D27" s="22">
        <f t="shared" ref="D27:F27" si="7">D24+D25+D26</f>
        <v>648</v>
      </c>
      <c r="E27" s="22">
        <f t="shared" si="7"/>
        <v>25</v>
      </c>
      <c r="F27" s="22">
        <f t="shared" si="7"/>
        <v>673</v>
      </c>
      <c r="G27" s="22">
        <v>91</v>
      </c>
      <c r="H27" s="22">
        <v>2</v>
      </c>
      <c r="I27" s="22">
        <v>93</v>
      </c>
      <c r="J27" s="22">
        <f t="shared" si="0"/>
        <v>580</v>
      </c>
      <c r="K27" s="22">
        <f>(J27/F27)*100</f>
        <v>86.181277860326901</v>
      </c>
    </row>
    <row r="28" spans="1:11" ht="28.5" customHeight="1" x14ac:dyDescent="0.25">
      <c r="A28" s="24" t="s">
        <v>87</v>
      </c>
      <c r="B28" s="24" t="s">
        <v>88</v>
      </c>
      <c r="C28" s="32" t="s">
        <v>89</v>
      </c>
      <c r="D28" s="25">
        <v>785</v>
      </c>
      <c r="E28" s="25">
        <v>1045</v>
      </c>
      <c r="F28" s="25">
        <v>1830</v>
      </c>
      <c r="G28" s="25">
        <v>1473</v>
      </c>
      <c r="H28" s="25">
        <v>1420</v>
      </c>
      <c r="I28" s="25">
        <v>2893</v>
      </c>
      <c r="J28" s="29">
        <f t="shared" si="0"/>
        <v>-1063</v>
      </c>
      <c r="K28" s="14">
        <f t="shared" ref="K28:K30" si="8">(J28/I28)*100</f>
        <v>-36.743864500518491</v>
      </c>
    </row>
    <row r="29" spans="1:11" ht="28.5" customHeight="1" x14ac:dyDescent="0.25">
      <c r="A29" s="32" t="s">
        <v>90</v>
      </c>
      <c r="B29" s="32" t="s">
        <v>91</v>
      </c>
      <c r="C29" s="32" t="s">
        <v>92</v>
      </c>
      <c r="D29" s="33">
        <v>1114</v>
      </c>
      <c r="E29" s="33">
        <v>0</v>
      </c>
      <c r="F29" s="33">
        <v>1114</v>
      </c>
      <c r="G29" s="33">
        <v>1041</v>
      </c>
      <c r="H29" s="33">
        <v>0</v>
      </c>
      <c r="I29" s="33">
        <v>1041</v>
      </c>
      <c r="J29" s="29">
        <f t="shared" si="0"/>
        <v>73</v>
      </c>
      <c r="K29" s="14">
        <f t="shared" si="8"/>
        <v>7.0124879923150818</v>
      </c>
    </row>
    <row r="30" spans="1:11" ht="28.5" customHeight="1" x14ac:dyDescent="0.25">
      <c r="A30" s="32" t="s">
        <v>93</v>
      </c>
      <c r="B30" s="32" t="s">
        <v>94</v>
      </c>
      <c r="C30" s="32" t="s">
        <v>49</v>
      </c>
      <c r="D30" s="33">
        <v>600</v>
      </c>
      <c r="E30" s="33">
        <v>152</v>
      </c>
      <c r="F30" s="33">
        <v>752</v>
      </c>
      <c r="G30" s="33">
        <v>720</v>
      </c>
      <c r="H30" s="33">
        <v>167</v>
      </c>
      <c r="I30" s="33">
        <v>887</v>
      </c>
      <c r="J30" s="29">
        <f t="shared" si="0"/>
        <v>-135</v>
      </c>
      <c r="K30" s="14">
        <f t="shared" si="8"/>
        <v>-15.219842164599775</v>
      </c>
    </row>
    <row r="31" spans="1:11" ht="28.5" customHeight="1" x14ac:dyDescent="0.25">
      <c r="A31" s="24" t="s">
        <v>95</v>
      </c>
      <c r="B31" s="24" t="s">
        <v>96</v>
      </c>
      <c r="C31" s="24" t="s">
        <v>97</v>
      </c>
      <c r="D31" s="33">
        <v>649</v>
      </c>
      <c r="E31" s="33">
        <v>18</v>
      </c>
      <c r="F31" s="33">
        <v>667</v>
      </c>
      <c r="G31" s="29">
        <v>0</v>
      </c>
      <c r="H31" s="29">
        <v>0</v>
      </c>
      <c r="I31" s="29">
        <v>0</v>
      </c>
      <c r="J31" s="29">
        <f t="shared" si="0"/>
        <v>667</v>
      </c>
      <c r="K31" s="14">
        <v>100</v>
      </c>
    </row>
    <row r="32" spans="1:11" ht="28.5" customHeight="1" x14ac:dyDescent="0.25">
      <c r="A32" s="32" t="s">
        <v>98</v>
      </c>
      <c r="B32" s="32" t="s">
        <v>99</v>
      </c>
      <c r="C32" s="32" t="s">
        <v>100</v>
      </c>
      <c r="D32" s="33">
        <v>771</v>
      </c>
      <c r="E32" s="33">
        <v>0</v>
      </c>
      <c r="F32" s="33">
        <v>771</v>
      </c>
      <c r="G32" s="33">
        <v>786</v>
      </c>
      <c r="H32" s="33">
        <v>0</v>
      </c>
      <c r="I32" s="33">
        <v>786</v>
      </c>
      <c r="J32" s="29">
        <f t="shared" si="0"/>
        <v>-15</v>
      </c>
      <c r="K32" s="14">
        <f t="shared" ref="K32:K34" si="9">(J32/I32)*100</f>
        <v>-1.9083969465648856</v>
      </c>
    </row>
    <row r="33" spans="1:11" ht="28.5" customHeight="1" x14ac:dyDescent="0.25">
      <c r="A33" s="30" t="s">
        <v>23</v>
      </c>
      <c r="B33" s="30"/>
      <c r="C33" s="30"/>
      <c r="D33" s="22">
        <f t="shared" ref="D33:E33" si="10">D28+D29+D30+D31+D32</f>
        <v>3919</v>
      </c>
      <c r="E33" s="22">
        <f t="shared" si="10"/>
        <v>1215</v>
      </c>
      <c r="F33" s="22">
        <v>2923</v>
      </c>
      <c r="G33" s="22">
        <f t="shared" ref="G33:H33" si="11">G28+G29+G30+G31+G32</f>
        <v>4020</v>
      </c>
      <c r="H33" s="22">
        <f t="shared" si="11"/>
        <v>1587</v>
      </c>
      <c r="I33" s="22">
        <v>2068</v>
      </c>
      <c r="J33" s="22">
        <f t="shared" si="0"/>
        <v>855</v>
      </c>
      <c r="K33" s="22">
        <f t="shared" si="9"/>
        <v>41.34429400386847</v>
      </c>
    </row>
    <row r="34" spans="1:11" ht="28.5" customHeight="1" x14ac:dyDescent="0.25">
      <c r="A34" s="30" t="s">
        <v>101</v>
      </c>
      <c r="B34" s="30"/>
      <c r="C34" s="30"/>
      <c r="D34" s="22">
        <v>34879</v>
      </c>
      <c r="E34" s="22">
        <v>10925</v>
      </c>
      <c r="F34" s="22">
        <v>45804</v>
      </c>
      <c r="G34" s="22">
        <v>23907</v>
      </c>
      <c r="H34" s="22">
        <v>9359</v>
      </c>
      <c r="I34" s="22">
        <v>33266</v>
      </c>
      <c r="J34" s="22">
        <f t="shared" si="0"/>
        <v>12538</v>
      </c>
      <c r="K34" s="22">
        <f t="shared" si="9"/>
        <v>37.690134070823063</v>
      </c>
    </row>
    <row r="35" spans="1:11" ht="28.5" customHeight="1" x14ac:dyDescent="0.25">
      <c r="A35" s="298" t="s">
        <v>1689</v>
      </c>
      <c r="B35" s="299"/>
      <c r="C35" s="299"/>
      <c r="D35" s="299"/>
      <c r="E35" s="299"/>
      <c r="F35" s="299"/>
      <c r="G35" s="299"/>
      <c r="H35" s="299"/>
      <c r="I35" s="299"/>
      <c r="J35" s="299"/>
      <c r="K35" s="300"/>
    </row>
  </sheetData>
  <mergeCells count="1">
    <mergeCell ref="A35:K35"/>
  </mergeCells>
  <pageMargins left="0.7" right="0.7" top="0.75" bottom="0.75" header="0" footer="0"/>
  <pageSetup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2A5DB0"/>
    <outlinePr summaryBelow="0" summaryRight="0"/>
  </sheetPr>
  <dimension ref="A1:T9"/>
  <sheetViews>
    <sheetView workbookViewId="0">
      <pane ySplit="1" topLeftCell="A2" activePane="bottomLeft" state="frozen"/>
      <selection pane="bottomLeft"/>
    </sheetView>
  </sheetViews>
  <sheetFormatPr defaultColWidth="14.44140625" defaultRowHeight="15.75" customHeight="1" x14ac:dyDescent="0.25"/>
  <cols>
    <col min="1" max="1" width="28" customWidth="1"/>
    <col min="2" max="2" width="20.33203125" customWidth="1"/>
    <col min="3" max="3" width="26.88671875" customWidth="1"/>
    <col min="4" max="4" width="20.44140625" customWidth="1"/>
    <col min="5" max="5" width="23.33203125" customWidth="1"/>
    <col min="6" max="7" width="23.6640625" customWidth="1"/>
    <col min="8" max="20" width="9.109375" customWidth="1"/>
  </cols>
  <sheetData>
    <row r="1" spans="1:20" ht="39.75" customHeight="1" x14ac:dyDescent="0.25">
      <c r="A1" s="114" t="s">
        <v>1777</v>
      </c>
      <c r="B1" s="184" t="s">
        <v>10</v>
      </c>
      <c r="C1" s="8" t="s">
        <v>11</v>
      </c>
      <c r="D1" s="60" t="s">
        <v>1680</v>
      </c>
      <c r="E1" s="155" t="s">
        <v>1681</v>
      </c>
      <c r="F1" s="47" t="s">
        <v>1682</v>
      </c>
      <c r="G1" s="48" t="s">
        <v>1683</v>
      </c>
      <c r="H1" s="18"/>
      <c r="I1" s="18"/>
      <c r="J1" s="18"/>
      <c r="K1" s="18"/>
      <c r="L1" s="18"/>
      <c r="M1" s="18"/>
      <c r="N1" s="18"/>
      <c r="O1" s="18"/>
      <c r="P1" s="18"/>
      <c r="Q1" s="18"/>
      <c r="R1" s="18"/>
      <c r="S1" s="18"/>
      <c r="T1" s="18"/>
    </row>
    <row r="2" spans="1:20" ht="28.5" customHeight="1" x14ac:dyDescent="0.3">
      <c r="A2" s="71" t="s">
        <v>1651</v>
      </c>
      <c r="B2" s="188"/>
      <c r="C2" s="188"/>
      <c r="D2" s="64">
        <v>8510.9</v>
      </c>
      <c r="E2" s="64">
        <v>8240</v>
      </c>
      <c r="F2" s="51">
        <f t="shared" ref="F2:F8" si="0">D2-E2</f>
        <v>270.89999999999964</v>
      </c>
      <c r="G2" s="51">
        <f t="shared" ref="G2:G8" si="1">(F2/E2)*100</f>
        <v>3.2876213592232966</v>
      </c>
      <c r="H2" s="18"/>
      <c r="I2" s="18"/>
      <c r="J2" s="18"/>
      <c r="K2" s="18"/>
      <c r="L2" s="18"/>
      <c r="M2" s="18"/>
      <c r="N2" s="18"/>
      <c r="O2" s="18"/>
      <c r="P2" s="18"/>
      <c r="Q2" s="18"/>
      <c r="R2" s="18"/>
      <c r="S2" s="18"/>
      <c r="T2" s="18"/>
    </row>
    <row r="3" spans="1:20" ht="28.5" customHeight="1" x14ac:dyDescent="0.3">
      <c r="A3" s="71" t="s">
        <v>1652</v>
      </c>
      <c r="B3" s="188"/>
      <c r="C3" s="188"/>
      <c r="D3" s="64">
        <v>259.89999999999998</v>
      </c>
      <c r="E3" s="64">
        <v>214.6</v>
      </c>
      <c r="F3" s="51">
        <f t="shared" si="0"/>
        <v>45.299999999999983</v>
      </c>
      <c r="G3" s="51">
        <f t="shared" si="1"/>
        <v>21.10904007455731</v>
      </c>
      <c r="H3" s="18"/>
      <c r="I3" s="18"/>
      <c r="J3" s="18"/>
      <c r="K3" s="18"/>
      <c r="L3" s="18"/>
      <c r="M3" s="18"/>
      <c r="N3" s="18"/>
      <c r="O3" s="18"/>
      <c r="P3" s="18"/>
      <c r="Q3" s="18"/>
      <c r="R3" s="18"/>
      <c r="S3" s="18"/>
      <c r="T3" s="18"/>
    </row>
    <row r="4" spans="1:20" ht="28.5" customHeight="1" x14ac:dyDescent="0.3">
      <c r="A4" s="71" t="s">
        <v>1653</v>
      </c>
      <c r="B4" s="188"/>
      <c r="C4" s="188"/>
      <c r="D4" s="64">
        <v>1195.3</v>
      </c>
      <c r="E4" s="64">
        <v>1192.5</v>
      </c>
      <c r="F4" s="51">
        <f t="shared" si="0"/>
        <v>2.7999999999999545</v>
      </c>
      <c r="G4" s="51">
        <f t="shared" si="1"/>
        <v>0.23480083857441966</v>
      </c>
      <c r="H4" s="18"/>
      <c r="I4" s="18"/>
      <c r="J4" s="18"/>
      <c r="K4" s="18"/>
      <c r="L4" s="18"/>
      <c r="M4" s="18"/>
      <c r="N4" s="18"/>
      <c r="O4" s="18"/>
      <c r="P4" s="18"/>
      <c r="Q4" s="18"/>
      <c r="R4" s="18"/>
      <c r="S4" s="18"/>
      <c r="T4" s="18"/>
    </row>
    <row r="5" spans="1:20" ht="28.5" customHeight="1" x14ac:dyDescent="0.3">
      <c r="A5" s="71" t="s">
        <v>1654</v>
      </c>
      <c r="B5" s="188"/>
      <c r="C5" s="188"/>
      <c r="D5" s="64">
        <v>1853.8</v>
      </c>
      <c r="E5" s="64">
        <v>1723.2</v>
      </c>
      <c r="F5" s="51">
        <f t="shared" si="0"/>
        <v>130.59999999999991</v>
      </c>
      <c r="G5" s="51">
        <f t="shared" si="1"/>
        <v>7.5789229340761324</v>
      </c>
      <c r="H5" s="18"/>
      <c r="I5" s="18"/>
      <c r="J5" s="18"/>
      <c r="K5" s="18"/>
      <c r="L5" s="18"/>
      <c r="M5" s="18"/>
      <c r="N5" s="18"/>
      <c r="O5" s="18"/>
      <c r="P5" s="18"/>
      <c r="Q5" s="18"/>
      <c r="R5" s="18"/>
      <c r="S5" s="18"/>
      <c r="T5" s="18"/>
    </row>
    <row r="6" spans="1:20" ht="28.5" customHeight="1" x14ac:dyDescent="0.3">
      <c r="A6" s="189" t="s">
        <v>1655</v>
      </c>
      <c r="B6" s="190"/>
      <c r="C6" s="190"/>
      <c r="D6" s="191">
        <v>11819.9</v>
      </c>
      <c r="E6" s="191">
        <v>11370.3</v>
      </c>
      <c r="F6" s="76">
        <f t="shared" si="0"/>
        <v>449.60000000000036</v>
      </c>
      <c r="G6" s="76">
        <f t="shared" si="1"/>
        <v>3.9541612798255139</v>
      </c>
      <c r="H6" s="18"/>
      <c r="I6" s="18"/>
      <c r="J6" s="18"/>
      <c r="K6" s="18"/>
      <c r="L6" s="18"/>
      <c r="M6" s="18"/>
      <c r="N6" s="18"/>
      <c r="O6" s="18"/>
      <c r="P6" s="18"/>
      <c r="Q6" s="18"/>
      <c r="R6" s="18"/>
      <c r="S6" s="18"/>
      <c r="T6" s="18"/>
    </row>
    <row r="7" spans="1:20" ht="28.5" customHeight="1" x14ac:dyDescent="0.3">
      <c r="A7" s="71" t="s">
        <v>1656</v>
      </c>
      <c r="B7" s="188"/>
      <c r="C7" s="188"/>
      <c r="D7" s="64">
        <v>126.1</v>
      </c>
      <c r="E7" s="64">
        <v>130.19999999999999</v>
      </c>
      <c r="F7" s="51">
        <f t="shared" si="0"/>
        <v>-4.0999999999999943</v>
      </c>
      <c r="G7" s="51">
        <f t="shared" si="1"/>
        <v>-3.1490015360983059</v>
      </c>
      <c r="H7" s="18"/>
      <c r="I7" s="18"/>
      <c r="J7" s="18"/>
      <c r="K7" s="18"/>
      <c r="L7" s="18"/>
      <c r="M7" s="18"/>
      <c r="N7" s="18"/>
      <c r="O7" s="18"/>
      <c r="P7" s="18"/>
      <c r="Q7" s="18"/>
      <c r="R7" s="18"/>
      <c r="S7" s="18"/>
      <c r="T7" s="18"/>
    </row>
    <row r="8" spans="1:20" ht="28.5" customHeight="1" x14ac:dyDescent="0.3">
      <c r="A8" s="189" t="s">
        <v>1657</v>
      </c>
      <c r="B8" s="190"/>
      <c r="C8" s="190"/>
      <c r="D8" s="191">
        <v>11946</v>
      </c>
      <c r="E8" s="191">
        <v>11500.5</v>
      </c>
      <c r="F8" s="76">
        <f t="shared" si="0"/>
        <v>445.5</v>
      </c>
      <c r="G8" s="76">
        <f t="shared" si="1"/>
        <v>3.873744619799139</v>
      </c>
      <c r="H8" s="18"/>
      <c r="I8" s="18"/>
      <c r="J8" s="18"/>
      <c r="K8" s="18"/>
      <c r="L8" s="18"/>
      <c r="M8" s="18"/>
      <c r="N8" s="18"/>
      <c r="O8" s="18"/>
      <c r="P8" s="18"/>
      <c r="Q8" s="18"/>
      <c r="R8" s="18"/>
      <c r="S8" s="18"/>
      <c r="T8" s="18"/>
    </row>
    <row r="9" spans="1:20" ht="163.5" customHeight="1" x14ac:dyDescent="0.25">
      <c r="A9" s="301" t="s">
        <v>1778</v>
      </c>
      <c r="B9" s="299"/>
      <c r="C9" s="299"/>
      <c r="D9" s="299"/>
      <c r="E9" s="299"/>
      <c r="F9" s="299"/>
      <c r="G9" s="300"/>
      <c r="H9" s="18"/>
      <c r="I9" s="18"/>
      <c r="J9" s="18"/>
      <c r="K9" s="18"/>
      <c r="L9" s="18"/>
      <c r="M9" s="18"/>
      <c r="N9" s="18"/>
      <c r="O9" s="18"/>
      <c r="P9" s="18"/>
      <c r="Q9" s="18"/>
      <c r="R9" s="18"/>
      <c r="S9" s="18"/>
      <c r="T9" s="18"/>
    </row>
  </sheetData>
  <mergeCells count="1">
    <mergeCell ref="A9:G9"/>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2A5DB0"/>
    <outlinePr summaryBelow="0" summaryRight="0"/>
  </sheetPr>
  <dimension ref="A1:Z5"/>
  <sheetViews>
    <sheetView workbookViewId="0">
      <pane ySplit="1" topLeftCell="A2" activePane="bottomLeft" state="frozen"/>
      <selection pane="bottomLeft"/>
    </sheetView>
  </sheetViews>
  <sheetFormatPr defaultColWidth="14.44140625" defaultRowHeight="15.75" customHeight="1" x14ac:dyDescent="0.25"/>
  <cols>
    <col min="1" max="3" width="27.6640625" customWidth="1"/>
    <col min="4" max="7" width="18.6640625" customWidth="1"/>
  </cols>
  <sheetData>
    <row r="1" spans="1:26" ht="34.5" customHeight="1" x14ac:dyDescent="0.3">
      <c r="A1" s="192" t="s">
        <v>1779</v>
      </c>
      <c r="B1" s="193" t="s">
        <v>10</v>
      </c>
      <c r="C1" s="193" t="s">
        <v>11</v>
      </c>
      <c r="D1" s="194" t="s">
        <v>1687</v>
      </c>
      <c r="E1" s="194" t="s">
        <v>1688</v>
      </c>
      <c r="F1" s="8" t="s">
        <v>1682</v>
      </c>
      <c r="G1" s="194" t="s">
        <v>1683</v>
      </c>
      <c r="H1" s="10"/>
      <c r="I1" s="10"/>
      <c r="J1" s="10"/>
      <c r="K1" s="10"/>
      <c r="L1" s="10"/>
      <c r="M1" s="10"/>
      <c r="N1" s="10"/>
      <c r="O1" s="10"/>
      <c r="P1" s="10"/>
      <c r="Q1" s="10"/>
      <c r="R1" s="10"/>
      <c r="S1" s="10"/>
      <c r="T1" s="125"/>
      <c r="U1" s="125"/>
      <c r="V1" s="125"/>
      <c r="W1" s="125"/>
      <c r="X1" s="125"/>
      <c r="Y1" s="125"/>
      <c r="Z1" s="125"/>
    </row>
    <row r="2" spans="1:26" ht="28.5" customHeight="1" x14ac:dyDescent="0.3">
      <c r="A2" s="24" t="s">
        <v>1780</v>
      </c>
      <c r="B2" s="24" t="s">
        <v>1781</v>
      </c>
      <c r="C2" s="24" t="s">
        <v>481</v>
      </c>
      <c r="D2" s="25">
        <v>993.1</v>
      </c>
      <c r="E2" s="25">
        <v>752.9</v>
      </c>
      <c r="F2" s="25">
        <f t="shared" ref="F2:F5" si="0">D2-E2</f>
        <v>240.20000000000005</v>
      </c>
      <c r="G2" s="25">
        <f t="shared" ref="G2:G5" si="1">(F2/D2)*100</f>
        <v>24.186889537810899</v>
      </c>
      <c r="H2" s="17"/>
      <c r="I2" s="17"/>
      <c r="J2" s="17"/>
      <c r="K2" s="17"/>
      <c r="L2" s="17"/>
      <c r="M2" s="17"/>
      <c r="N2" s="17"/>
      <c r="O2" s="17"/>
      <c r="P2" s="17"/>
      <c r="Q2" s="17"/>
      <c r="R2" s="17"/>
      <c r="S2" s="17"/>
      <c r="T2" s="158"/>
      <c r="U2" s="158"/>
      <c r="V2" s="158"/>
      <c r="W2" s="158"/>
      <c r="X2" s="158"/>
      <c r="Y2" s="158"/>
      <c r="Z2" s="158"/>
    </row>
    <row r="3" spans="1:26" ht="28.5" customHeight="1" x14ac:dyDescent="0.3">
      <c r="A3" s="24" t="s">
        <v>1084</v>
      </c>
      <c r="B3" s="24" t="s">
        <v>1085</v>
      </c>
      <c r="C3" s="24" t="s">
        <v>481</v>
      </c>
      <c r="D3" s="25">
        <v>1</v>
      </c>
      <c r="E3" s="25">
        <v>0</v>
      </c>
      <c r="F3" s="25">
        <f t="shared" si="0"/>
        <v>1</v>
      </c>
      <c r="G3" s="25">
        <f t="shared" si="1"/>
        <v>100</v>
      </c>
      <c r="H3" s="17"/>
      <c r="I3" s="17"/>
      <c r="J3" s="17"/>
      <c r="K3" s="17"/>
      <c r="L3" s="17"/>
      <c r="M3" s="17"/>
      <c r="N3" s="17"/>
      <c r="O3" s="17"/>
      <c r="P3" s="17"/>
      <c r="Q3" s="17"/>
      <c r="R3" s="17"/>
      <c r="S3" s="17"/>
      <c r="T3" s="158"/>
      <c r="U3" s="158"/>
      <c r="V3" s="158"/>
      <c r="W3" s="158"/>
      <c r="X3" s="158"/>
      <c r="Y3" s="158"/>
      <c r="Z3" s="158"/>
    </row>
    <row r="4" spans="1:26" ht="28.5" customHeight="1" x14ac:dyDescent="0.3">
      <c r="A4" s="24" t="s">
        <v>1086</v>
      </c>
      <c r="B4" s="24"/>
      <c r="C4" s="24"/>
      <c r="D4" s="25">
        <v>51.8</v>
      </c>
      <c r="E4" s="25">
        <v>35.200000000000003</v>
      </c>
      <c r="F4" s="25">
        <f t="shared" si="0"/>
        <v>16.599999999999994</v>
      </c>
      <c r="G4" s="25">
        <f t="shared" si="1"/>
        <v>32.04633204633204</v>
      </c>
      <c r="H4" s="17"/>
      <c r="I4" s="17"/>
      <c r="J4" s="17"/>
      <c r="K4" s="17"/>
      <c r="L4" s="17"/>
      <c r="M4" s="17"/>
      <c r="N4" s="17"/>
      <c r="O4" s="17"/>
      <c r="P4" s="17"/>
      <c r="Q4" s="17"/>
      <c r="R4" s="17"/>
      <c r="S4" s="17"/>
      <c r="T4" s="158"/>
      <c r="U4" s="158"/>
      <c r="V4" s="158"/>
      <c r="W4" s="158"/>
      <c r="X4" s="158"/>
      <c r="Y4" s="158"/>
      <c r="Z4" s="158"/>
    </row>
    <row r="5" spans="1:26" ht="28.5" customHeight="1" x14ac:dyDescent="0.3">
      <c r="A5" s="30" t="s">
        <v>1087</v>
      </c>
      <c r="B5" s="30"/>
      <c r="C5" s="30"/>
      <c r="D5" s="22">
        <v>1045.9000000000001</v>
      </c>
      <c r="E5" s="22">
        <v>788.1</v>
      </c>
      <c r="F5" s="22">
        <f t="shared" si="0"/>
        <v>257.80000000000007</v>
      </c>
      <c r="G5" s="22">
        <f t="shared" si="1"/>
        <v>24.648627975905924</v>
      </c>
      <c r="H5" s="17"/>
      <c r="I5" s="17"/>
      <c r="J5" s="17"/>
      <c r="K5" s="17"/>
      <c r="L5" s="17"/>
      <c r="M5" s="17"/>
      <c r="N5" s="17"/>
      <c r="O5" s="17"/>
      <c r="P5" s="17"/>
      <c r="Q5" s="17"/>
      <c r="R5" s="17"/>
      <c r="S5" s="17"/>
      <c r="T5" s="158"/>
      <c r="U5" s="158"/>
      <c r="V5" s="158"/>
      <c r="W5" s="158"/>
      <c r="X5" s="158"/>
      <c r="Y5" s="158"/>
      <c r="Z5" s="158"/>
    </row>
  </sheetData>
  <pageMargins left="0.7" right="0.7" top="0.75" bottom="0.75" header="0" footer="0"/>
  <pageSetup orientation="landscape"/>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2A5DB0"/>
  </sheetPr>
  <dimension ref="A1:Z52"/>
  <sheetViews>
    <sheetView workbookViewId="0">
      <pane ySplit="1" topLeftCell="A2" activePane="bottomLeft" state="frozen"/>
      <selection pane="bottomLeft"/>
    </sheetView>
  </sheetViews>
  <sheetFormatPr defaultColWidth="14.44140625" defaultRowHeight="15.75" customHeight="1" x14ac:dyDescent="0.25"/>
  <cols>
    <col min="1" max="1" width="36.5546875" customWidth="1"/>
    <col min="2" max="2" width="30.6640625" customWidth="1"/>
    <col min="3" max="5" width="23" customWidth="1"/>
    <col min="6" max="7" width="15.6640625" customWidth="1"/>
    <col min="8" max="19" width="9.109375" customWidth="1"/>
  </cols>
  <sheetData>
    <row r="1" spans="1:26" ht="34.5" customHeight="1" x14ac:dyDescent="0.25">
      <c r="A1" s="192" t="s">
        <v>1782</v>
      </c>
      <c r="B1" s="193" t="s">
        <v>10</v>
      </c>
      <c r="C1" s="193" t="s">
        <v>11</v>
      </c>
      <c r="D1" s="194" t="s">
        <v>1687</v>
      </c>
      <c r="E1" s="194" t="s">
        <v>1688</v>
      </c>
      <c r="F1" s="8" t="s">
        <v>1682</v>
      </c>
      <c r="G1" s="194" t="s">
        <v>1683</v>
      </c>
      <c r="H1" s="10"/>
      <c r="I1" s="10"/>
      <c r="J1" s="10"/>
      <c r="K1" s="10"/>
      <c r="L1" s="10"/>
      <c r="M1" s="10"/>
      <c r="N1" s="10"/>
      <c r="O1" s="10"/>
      <c r="P1" s="10"/>
      <c r="Q1" s="10"/>
      <c r="R1" s="10"/>
      <c r="S1" s="10"/>
    </row>
    <row r="2" spans="1:26" ht="28.5" customHeight="1" x14ac:dyDescent="0.3">
      <c r="A2" s="24" t="s">
        <v>1783</v>
      </c>
      <c r="B2" s="24" t="s">
        <v>1784</v>
      </c>
      <c r="C2" s="24" t="s">
        <v>49</v>
      </c>
      <c r="D2" s="25">
        <v>1958</v>
      </c>
      <c r="E2" s="25">
        <v>1880</v>
      </c>
      <c r="F2" s="25">
        <f t="shared" ref="F2:F52" si="0">D2-E2</f>
        <v>78</v>
      </c>
      <c r="G2" s="25">
        <f t="shared" ref="G2:G15" si="1">(F2/E2)*100</f>
        <v>4.1489361702127656</v>
      </c>
      <c r="H2" s="17"/>
      <c r="I2" s="17"/>
      <c r="J2" s="17"/>
      <c r="K2" s="17"/>
      <c r="L2" s="17"/>
      <c r="M2" s="17"/>
      <c r="N2" s="17"/>
      <c r="O2" s="17"/>
      <c r="P2" s="17"/>
      <c r="Q2" s="17"/>
      <c r="R2" s="17"/>
      <c r="S2" s="17"/>
      <c r="T2" s="158"/>
      <c r="U2" s="158"/>
      <c r="V2" s="158"/>
      <c r="W2" s="158"/>
      <c r="X2" s="158"/>
      <c r="Y2" s="158"/>
      <c r="Z2" s="158"/>
    </row>
    <row r="3" spans="1:26" ht="28.5" customHeight="1" x14ac:dyDescent="0.3">
      <c r="A3" s="24" t="s">
        <v>1089</v>
      </c>
      <c r="B3" s="24" t="s">
        <v>1090</v>
      </c>
      <c r="C3" s="24" t="s">
        <v>49</v>
      </c>
      <c r="D3" s="25">
        <v>1738</v>
      </c>
      <c r="E3" s="25">
        <v>1416</v>
      </c>
      <c r="F3" s="25">
        <f t="shared" si="0"/>
        <v>322</v>
      </c>
      <c r="G3" s="25">
        <f t="shared" si="1"/>
        <v>22.74011299435028</v>
      </c>
      <c r="H3" s="17"/>
      <c r="I3" s="17"/>
      <c r="J3" s="17"/>
      <c r="K3" s="17"/>
      <c r="L3" s="17"/>
      <c r="M3" s="17"/>
      <c r="N3" s="17"/>
      <c r="O3" s="17"/>
      <c r="P3" s="17"/>
      <c r="Q3" s="17"/>
      <c r="R3" s="17"/>
      <c r="S3" s="17"/>
      <c r="T3" s="158"/>
      <c r="U3" s="158"/>
      <c r="V3" s="158"/>
      <c r="W3" s="158"/>
      <c r="X3" s="158"/>
      <c r="Y3" s="158"/>
      <c r="Z3" s="158"/>
    </row>
    <row r="4" spans="1:26" ht="28.5" customHeight="1" x14ac:dyDescent="0.3">
      <c r="A4" s="24" t="s">
        <v>1091</v>
      </c>
      <c r="B4" s="24" t="s">
        <v>1092</v>
      </c>
      <c r="C4" s="24" t="s">
        <v>49</v>
      </c>
      <c r="D4" s="25">
        <v>1542</v>
      </c>
      <c r="E4" s="25">
        <v>1338</v>
      </c>
      <c r="F4" s="25">
        <f t="shared" si="0"/>
        <v>204</v>
      </c>
      <c r="G4" s="25">
        <f t="shared" si="1"/>
        <v>15.246636771300448</v>
      </c>
      <c r="H4" s="17"/>
      <c r="I4" s="17"/>
      <c r="J4" s="17"/>
      <c r="K4" s="17"/>
      <c r="L4" s="17"/>
      <c r="M4" s="17"/>
      <c r="N4" s="17"/>
      <c r="O4" s="17"/>
      <c r="P4" s="17"/>
      <c r="Q4" s="17"/>
      <c r="R4" s="17"/>
      <c r="S4" s="17"/>
      <c r="T4" s="158"/>
      <c r="U4" s="158"/>
      <c r="V4" s="158"/>
      <c r="W4" s="158"/>
      <c r="X4" s="158"/>
      <c r="Y4" s="158"/>
      <c r="Z4" s="158"/>
    </row>
    <row r="5" spans="1:26" ht="28.5" customHeight="1" x14ac:dyDescent="0.3">
      <c r="A5" s="24" t="s">
        <v>1093</v>
      </c>
      <c r="B5" s="24" t="s">
        <v>1094</v>
      </c>
      <c r="C5" s="24" t="s">
        <v>49</v>
      </c>
      <c r="D5" s="25">
        <v>1439</v>
      </c>
      <c r="E5" s="25">
        <v>1585</v>
      </c>
      <c r="F5" s="25">
        <f t="shared" si="0"/>
        <v>-146</v>
      </c>
      <c r="G5" s="25">
        <f t="shared" si="1"/>
        <v>-9.2113564668769712</v>
      </c>
      <c r="H5" s="17"/>
      <c r="I5" s="17"/>
      <c r="J5" s="17"/>
      <c r="K5" s="17"/>
      <c r="L5" s="17"/>
      <c r="M5" s="17"/>
      <c r="N5" s="17"/>
      <c r="O5" s="17"/>
      <c r="P5" s="17"/>
      <c r="Q5" s="17"/>
      <c r="R5" s="17"/>
      <c r="S5" s="17"/>
      <c r="T5" s="158"/>
      <c r="U5" s="158"/>
      <c r="V5" s="158"/>
      <c r="W5" s="158"/>
      <c r="X5" s="158"/>
      <c r="Y5" s="158"/>
      <c r="Z5" s="158"/>
    </row>
    <row r="6" spans="1:26" ht="28.5" customHeight="1" x14ac:dyDescent="0.3">
      <c r="A6" s="24" t="s">
        <v>1095</v>
      </c>
      <c r="B6" s="24" t="s">
        <v>1096</v>
      </c>
      <c r="C6" s="24" t="s">
        <v>49</v>
      </c>
      <c r="D6" s="25">
        <v>1339</v>
      </c>
      <c r="E6" s="25">
        <v>1114</v>
      </c>
      <c r="F6" s="25">
        <f t="shared" si="0"/>
        <v>225</v>
      </c>
      <c r="G6" s="25">
        <f t="shared" si="1"/>
        <v>20.197486535008977</v>
      </c>
      <c r="H6" s="17"/>
      <c r="I6" s="17"/>
      <c r="J6" s="17"/>
      <c r="K6" s="17"/>
      <c r="L6" s="17"/>
      <c r="M6" s="17"/>
      <c r="N6" s="17"/>
      <c r="O6" s="17"/>
      <c r="P6" s="17"/>
      <c r="Q6" s="17"/>
      <c r="R6" s="17"/>
      <c r="S6" s="17"/>
      <c r="T6" s="158"/>
      <c r="U6" s="158"/>
      <c r="V6" s="158"/>
      <c r="W6" s="158"/>
      <c r="X6" s="158"/>
      <c r="Y6" s="158"/>
      <c r="Z6" s="158"/>
    </row>
    <row r="7" spans="1:26" ht="28.5" customHeight="1" x14ac:dyDescent="0.3">
      <c r="A7" s="24" t="s">
        <v>1097</v>
      </c>
      <c r="B7" s="24" t="s">
        <v>1098</v>
      </c>
      <c r="C7" s="24" t="s">
        <v>49</v>
      </c>
      <c r="D7" s="25">
        <v>1188</v>
      </c>
      <c r="E7" s="25">
        <v>1263</v>
      </c>
      <c r="F7" s="25">
        <f t="shared" si="0"/>
        <v>-75</v>
      </c>
      <c r="G7" s="25">
        <f t="shared" si="1"/>
        <v>-5.938242280285035</v>
      </c>
      <c r="H7" s="17"/>
      <c r="I7" s="17"/>
      <c r="J7" s="17"/>
      <c r="K7" s="17"/>
      <c r="L7" s="17"/>
      <c r="M7" s="17"/>
      <c r="N7" s="17"/>
      <c r="O7" s="17"/>
      <c r="P7" s="17"/>
      <c r="Q7" s="17"/>
      <c r="R7" s="17"/>
      <c r="S7" s="17"/>
      <c r="T7" s="158"/>
      <c r="U7" s="158"/>
      <c r="V7" s="158"/>
      <c r="W7" s="158"/>
      <c r="X7" s="158"/>
      <c r="Y7" s="158"/>
      <c r="Z7" s="158"/>
    </row>
    <row r="8" spans="1:26" ht="28.5" customHeight="1" x14ac:dyDescent="0.3">
      <c r="A8" s="24" t="s">
        <v>1099</v>
      </c>
      <c r="B8" s="24" t="s">
        <v>1100</v>
      </c>
      <c r="C8" s="24" t="s">
        <v>49</v>
      </c>
      <c r="D8" s="25">
        <v>1083</v>
      </c>
      <c r="E8" s="25">
        <v>1539</v>
      </c>
      <c r="F8" s="25">
        <f t="shared" si="0"/>
        <v>-456</v>
      </c>
      <c r="G8" s="25">
        <f t="shared" si="1"/>
        <v>-29.629629629629626</v>
      </c>
      <c r="H8" s="17"/>
      <c r="I8" s="17"/>
      <c r="J8" s="17"/>
      <c r="K8" s="17"/>
      <c r="L8" s="17"/>
      <c r="M8" s="17"/>
      <c r="N8" s="17"/>
      <c r="O8" s="17"/>
      <c r="P8" s="17"/>
      <c r="Q8" s="17"/>
      <c r="R8" s="17"/>
      <c r="S8" s="17"/>
      <c r="T8" s="158"/>
      <c r="U8" s="158"/>
      <c r="V8" s="158"/>
      <c r="W8" s="158"/>
      <c r="X8" s="158"/>
      <c r="Y8" s="158"/>
      <c r="Z8" s="158"/>
    </row>
    <row r="9" spans="1:26" ht="28.5" customHeight="1" x14ac:dyDescent="0.3">
      <c r="A9" s="24" t="s">
        <v>1101</v>
      </c>
      <c r="B9" s="24" t="s">
        <v>1102</v>
      </c>
      <c r="C9" s="24" t="s">
        <v>49</v>
      </c>
      <c r="D9" s="24">
        <v>687</v>
      </c>
      <c r="E9" s="24">
        <v>480</v>
      </c>
      <c r="F9" s="25">
        <f t="shared" si="0"/>
        <v>207</v>
      </c>
      <c r="G9" s="25">
        <f t="shared" si="1"/>
        <v>43.125</v>
      </c>
      <c r="H9" s="17"/>
      <c r="I9" s="17"/>
      <c r="J9" s="17"/>
      <c r="K9" s="17"/>
      <c r="L9" s="17"/>
      <c r="M9" s="17"/>
      <c r="N9" s="17"/>
      <c r="O9" s="17"/>
      <c r="P9" s="17"/>
      <c r="Q9" s="17"/>
      <c r="R9" s="17"/>
      <c r="S9" s="17"/>
      <c r="T9" s="158"/>
      <c r="U9" s="158"/>
      <c r="V9" s="158"/>
      <c r="W9" s="158"/>
      <c r="X9" s="158"/>
      <c r="Y9" s="158"/>
      <c r="Z9" s="158"/>
    </row>
    <row r="10" spans="1:26" ht="28.5" customHeight="1" x14ac:dyDescent="0.3">
      <c r="A10" s="24" t="s">
        <v>1103</v>
      </c>
      <c r="B10" s="24" t="s">
        <v>1104</v>
      </c>
      <c r="C10" s="24" t="s">
        <v>49</v>
      </c>
      <c r="D10" s="24">
        <v>653</v>
      </c>
      <c r="E10" s="24">
        <v>975</v>
      </c>
      <c r="F10" s="25">
        <f t="shared" si="0"/>
        <v>-322</v>
      </c>
      <c r="G10" s="25">
        <f t="shared" si="1"/>
        <v>-33.025641025641029</v>
      </c>
      <c r="H10" s="17"/>
      <c r="I10" s="17"/>
      <c r="J10" s="17"/>
      <c r="K10" s="17"/>
      <c r="L10" s="17"/>
      <c r="M10" s="17"/>
      <c r="N10" s="17"/>
      <c r="O10" s="17"/>
      <c r="P10" s="17"/>
      <c r="Q10" s="17"/>
      <c r="R10" s="17"/>
      <c r="S10" s="17"/>
      <c r="T10" s="158"/>
      <c r="U10" s="158"/>
      <c r="V10" s="158"/>
      <c r="W10" s="158"/>
      <c r="X10" s="158"/>
      <c r="Y10" s="158"/>
      <c r="Z10" s="158"/>
    </row>
    <row r="11" spans="1:26" ht="28.5" customHeight="1" x14ac:dyDescent="0.3">
      <c r="A11" s="24" t="s">
        <v>1105</v>
      </c>
      <c r="B11" s="24" t="s">
        <v>1106</v>
      </c>
      <c r="C11" s="24" t="s">
        <v>49</v>
      </c>
      <c r="D11" s="24">
        <v>635</v>
      </c>
      <c r="E11" s="24">
        <v>755</v>
      </c>
      <c r="F11" s="25">
        <f t="shared" si="0"/>
        <v>-120</v>
      </c>
      <c r="G11" s="25">
        <f t="shared" si="1"/>
        <v>-15.894039735099339</v>
      </c>
      <c r="H11" s="17"/>
      <c r="I11" s="17"/>
      <c r="J11" s="17"/>
      <c r="K11" s="17"/>
      <c r="L11" s="17"/>
      <c r="M11" s="17"/>
      <c r="N11" s="17"/>
      <c r="O11" s="17"/>
      <c r="P11" s="17"/>
      <c r="Q11" s="17"/>
      <c r="R11" s="17"/>
      <c r="S11" s="17"/>
      <c r="T11" s="158"/>
      <c r="U11" s="158"/>
      <c r="V11" s="158"/>
      <c r="W11" s="158"/>
      <c r="X11" s="158"/>
      <c r="Y11" s="158"/>
      <c r="Z11" s="158"/>
    </row>
    <row r="12" spans="1:26" ht="28.5" customHeight="1" x14ac:dyDescent="0.3">
      <c r="A12" s="24" t="s">
        <v>1107</v>
      </c>
      <c r="B12" s="24" t="s">
        <v>1108</v>
      </c>
      <c r="C12" s="24" t="s">
        <v>49</v>
      </c>
      <c r="D12" s="24">
        <v>474</v>
      </c>
      <c r="E12" s="24">
        <v>278</v>
      </c>
      <c r="F12" s="25">
        <f t="shared" si="0"/>
        <v>196</v>
      </c>
      <c r="G12" s="25">
        <f t="shared" si="1"/>
        <v>70.503597122302153</v>
      </c>
      <c r="H12" s="17"/>
      <c r="I12" s="17"/>
      <c r="J12" s="17"/>
      <c r="K12" s="17"/>
      <c r="L12" s="17"/>
      <c r="M12" s="17"/>
      <c r="N12" s="17"/>
      <c r="O12" s="17"/>
      <c r="P12" s="17"/>
      <c r="Q12" s="17"/>
      <c r="R12" s="17"/>
      <c r="S12" s="17"/>
      <c r="T12" s="158"/>
      <c r="U12" s="158"/>
      <c r="V12" s="158"/>
      <c r="W12" s="158"/>
      <c r="X12" s="158"/>
      <c r="Y12" s="158"/>
      <c r="Z12" s="158"/>
    </row>
    <row r="13" spans="1:26" ht="28.5" customHeight="1" x14ac:dyDescent="0.3">
      <c r="A13" s="24" t="s">
        <v>1109</v>
      </c>
      <c r="B13" s="24" t="s">
        <v>1110</v>
      </c>
      <c r="C13" s="24" t="s">
        <v>49</v>
      </c>
      <c r="D13" s="24">
        <v>445</v>
      </c>
      <c r="E13" s="24">
        <v>441</v>
      </c>
      <c r="F13" s="25">
        <f t="shared" si="0"/>
        <v>4</v>
      </c>
      <c r="G13" s="25">
        <f t="shared" si="1"/>
        <v>0.90702947845804993</v>
      </c>
      <c r="H13" s="17"/>
      <c r="I13" s="17"/>
      <c r="J13" s="17"/>
      <c r="K13" s="17"/>
      <c r="L13" s="17"/>
      <c r="M13" s="17"/>
      <c r="N13" s="17"/>
      <c r="O13" s="17"/>
      <c r="P13" s="17"/>
      <c r="Q13" s="17"/>
      <c r="R13" s="17"/>
      <c r="S13" s="17"/>
      <c r="T13" s="158"/>
      <c r="U13" s="158"/>
      <c r="V13" s="158"/>
      <c r="W13" s="158"/>
      <c r="X13" s="158"/>
      <c r="Y13" s="158"/>
      <c r="Z13" s="158"/>
    </row>
    <row r="14" spans="1:26" ht="28.5" customHeight="1" x14ac:dyDescent="0.3">
      <c r="A14" s="32" t="s">
        <v>1111</v>
      </c>
      <c r="B14" s="24" t="s">
        <v>1112</v>
      </c>
      <c r="C14" s="24" t="s">
        <v>49</v>
      </c>
      <c r="D14" s="24">
        <v>320</v>
      </c>
      <c r="E14" s="24">
        <v>116</v>
      </c>
      <c r="F14" s="25">
        <f t="shared" si="0"/>
        <v>204</v>
      </c>
      <c r="G14" s="25">
        <f t="shared" si="1"/>
        <v>175.86206896551724</v>
      </c>
      <c r="H14" s="17"/>
      <c r="I14" s="17"/>
      <c r="J14" s="17"/>
      <c r="K14" s="17"/>
      <c r="L14" s="17"/>
      <c r="M14" s="17"/>
      <c r="N14" s="17"/>
      <c r="O14" s="17"/>
      <c r="P14" s="17"/>
      <c r="Q14" s="17"/>
      <c r="R14" s="17"/>
      <c r="S14" s="17"/>
      <c r="T14" s="158"/>
      <c r="U14" s="158"/>
      <c r="V14" s="158"/>
      <c r="W14" s="158"/>
      <c r="X14" s="158"/>
      <c r="Y14" s="158"/>
      <c r="Z14" s="158"/>
    </row>
    <row r="15" spans="1:26" ht="28.5" customHeight="1" x14ac:dyDescent="0.3">
      <c r="A15" s="24" t="s">
        <v>1113</v>
      </c>
      <c r="B15" s="24" t="s">
        <v>1114</v>
      </c>
      <c r="C15" s="24" t="s">
        <v>49</v>
      </c>
      <c r="D15" s="25">
        <v>105</v>
      </c>
      <c r="E15" s="25">
        <v>1</v>
      </c>
      <c r="F15" s="25">
        <f t="shared" si="0"/>
        <v>104</v>
      </c>
      <c r="G15" s="25">
        <f t="shared" si="1"/>
        <v>10400</v>
      </c>
      <c r="H15" s="17"/>
      <c r="I15" s="17"/>
      <c r="J15" s="17"/>
      <c r="K15" s="17"/>
      <c r="L15" s="17"/>
      <c r="M15" s="17"/>
      <c r="N15" s="17"/>
      <c r="O15" s="17"/>
      <c r="P15" s="17"/>
      <c r="Q15" s="17"/>
      <c r="R15" s="17"/>
      <c r="S15" s="17"/>
      <c r="T15" s="158"/>
      <c r="U15" s="158"/>
      <c r="V15" s="158"/>
      <c r="W15" s="158"/>
      <c r="X15" s="158"/>
      <c r="Y15" s="158"/>
      <c r="Z15" s="158"/>
    </row>
    <row r="16" spans="1:26" ht="28.5" customHeight="1" x14ac:dyDescent="0.3">
      <c r="A16" s="24" t="s">
        <v>1115</v>
      </c>
      <c r="B16" s="24" t="s">
        <v>1116</v>
      </c>
      <c r="C16" s="24" t="s">
        <v>49</v>
      </c>
      <c r="D16" s="25">
        <v>35</v>
      </c>
      <c r="E16" s="25">
        <v>0</v>
      </c>
      <c r="F16" s="25">
        <f t="shared" si="0"/>
        <v>35</v>
      </c>
      <c r="G16" s="25" t="s">
        <v>67</v>
      </c>
      <c r="H16" s="17"/>
      <c r="I16" s="17"/>
      <c r="J16" s="17"/>
      <c r="K16" s="17"/>
      <c r="L16" s="17"/>
      <c r="M16" s="17"/>
      <c r="N16" s="17"/>
      <c r="O16" s="17"/>
      <c r="P16" s="17"/>
      <c r="Q16" s="17"/>
      <c r="R16" s="17"/>
      <c r="S16" s="17"/>
      <c r="T16" s="158"/>
      <c r="U16" s="158"/>
      <c r="V16" s="158"/>
      <c r="W16" s="158"/>
      <c r="X16" s="158"/>
      <c r="Y16" s="158"/>
      <c r="Z16" s="158"/>
    </row>
    <row r="17" spans="1:26" ht="28.5" customHeight="1" x14ac:dyDescent="0.3">
      <c r="A17" s="24" t="s">
        <v>23</v>
      </c>
      <c r="B17" s="24"/>
      <c r="C17" s="24" t="s">
        <v>49</v>
      </c>
      <c r="D17" s="25">
        <v>1070</v>
      </c>
      <c r="E17" s="25">
        <v>1189</v>
      </c>
      <c r="F17" s="25">
        <f t="shared" si="0"/>
        <v>-119</v>
      </c>
      <c r="G17" s="25">
        <f t="shared" ref="G17:G30" si="2">(F17/E17)*100</f>
        <v>-10.008410428931876</v>
      </c>
      <c r="H17" s="17"/>
      <c r="I17" s="17"/>
      <c r="J17" s="17"/>
      <c r="K17" s="17"/>
      <c r="L17" s="17"/>
      <c r="M17" s="17"/>
      <c r="N17" s="17"/>
      <c r="O17" s="17"/>
      <c r="P17" s="17"/>
      <c r="Q17" s="17"/>
      <c r="R17" s="17"/>
      <c r="S17" s="17"/>
      <c r="T17" s="158"/>
      <c r="U17" s="158"/>
      <c r="V17" s="158"/>
      <c r="W17" s="158"/>
      <c r="X17" s="158"/>
      <c r="Y17" s="158"/>
      <c r="Z17" s="158"/>
    </row>
    <row r="18" spans="1:26" ht="28.5" customHeight="1" x14ac:dyDescent="0.3">
      <c r="A18" s="26" t="s">
        <v>198</v>
      </c>
      <c r="B18" s="26"/>
      <c r="C18" s="147" t="s">
        <v>49</v>
      </c>
      <c r="D18" s="19">
        <f>D17+D15+D16+D14+D13+D12+D11+D10+D9+D8+D7+D6+D5+D4+D3+D2</f>
        <v>14711</v>
      </c>
      <c r="E18" s="19">
        <v>14370</v>
      </c>
      <c r="F18" s="22">
        <f t="shared" si="0"/>
        <v>341</v>
      </c>
      <c r="G18" s="22">
        <f t="shared" si="2"/>
        <v>2.3729993041057758</v>
      </c>
      <c r="H18" s="54"/>
      <c r="I18" s="54"/>
      <c r="J18" s="54"/>
      <c r="K18" s="54"/>
      <c r="L18" s="54"/>
      <c r="M18" s="54"/>
      <c r="N18" s="54"/>
      <c r="O18" s="54"/>
      <c r="P18" s="54"/>
      <c r="Q18" s="54"/>
      <c r="R18" s="54"/>
      <c r="S18" s="54"/>
      <c r="T18" s="158"/>
      <c r="U18" s="158"/>
      <c r="V18" s="158"/>
      <c r="W18" s="158"/>
      <c r="X18" s="158"/>
      <c r="Y18" s="158"/>
      <c r="Z18" s="158"/>
    </row>
    <row r="19" spans="1:26" ht="28.5" customHeight="1" x14ac:dyDescent="0.3">
      <c r="A19" s="24" t="s">
        <v>1117</v>
      </c>
      <c r="B19" s="24" t="s">
        <v>1118</v>
      </c>
      <c r="C19" s="24" t="s">
        <v>43</v>
      </c>
      <c r="D19" s="25">
        <v>3995</v>
      </c>
      <c r="E19" s="25">
        <v>3551</v>
      </c>
      <c r="F19" s="25">
        <f t="shared" si="0"/>
        <v>444</v>
      </c>
      <c r="G19" s="25">
        <f t="shared" si="2"/>
        <v>12.50352013517319</v>
      </c>
      <c r="H19" s="17"/>
      <c r="I19" s="17"/>
      <c r="J19" s="17"/>
      <c r="K19" s="17"/>
      <c r="L19" s="17"/>
      <c r="M19" s="17"/>
      <c r="N19" s="17"/>
      <c r="O19" s="17"/>
      <c r="P19" s="17"/>
      <c r="Q19" s="17"/>
      <c r="R19" s="17"/>
      <c r="S19" s="17"/>
      <c r="T19" s="158"/>
      <c r="U19" s="158"/>
      <c r="V19" s="158"/>
      <c r="W19" s="158"/>
      <c r="X19" s="158"/>
      <c r="Y19" s="158"/>
      <c r="Z19" s="158"/>
    </row>
    <row r="20" spans="1:26" ht="28.5" customHeight="1" x14ac:dyDescent="0.3">
      <c r="A20" s="24" t="s">
        <v>1119</v>
      </c>
      <c r="B20" s="24" t="s">
        <v>1120</v>
      </c>
      <c r="C20" s="24" t="s">
        <v>92</v>
      </c>
      <c r="D20" s="24">
        <v>873</v>
      </c>
      <c r="E20" s="24">
        <v>671</v>
      </c>
      <c r="F20" s="25">
        <f t="shared" si="0"/>
        <v>202</v>
      </c>
      <c r="G20" s="25">
        <f t="shared" si="2"/>
        <v>30.104321907600596</v>
      </c>
      <c r="H20" s="17"/>
      <c r="I20" s="17"/>
      <c r="J20" s="17"/>
      <c r="K20" s="17"/>
      <c r="L20" s="17"/>
      <c r="M20" s="17"/>
      <c r="N20" s="17"/>
      <c r="O20" s="17"/>
      <c r="P20" s="17"/>
      <c r="Q20" s="17"/>
      <c r="R20" s="17"/>
      <c r="S20" s="17"/>
      <c r="T20" s="158"/>
      <c r="U20" s="158"/>
      <c r="V20" s="158"/>
      <c r="W20" s="158"/>
      <c r="X20" s="158"/>
      <c r="Y20" s="158"/>
      <c r="Z20" s="158"/>
    </row>
    <row r="21" spans="1:26" ht="28.5" customHeight="1" x14ac:dyDescent="0.3">
      <c r="A21" s="30" t="s">
        <v>1121</v>
      </c>
      <c r="B21" s="30"/>
      <c r="C21" s="30"/>
      <c r="D21" s="22">
        <v>4868</v>
      </c>
      <c r="E21" s="22">
        <v>4222</v>
      </c>
      <c r="F21" s="22">
        <f t="shared" si="0"/>
        <v>646</v>
      </c>
      <c r="G21" s="22">
        <f t="shared" si="2"/>
        <v>15.300805305542397</v>
      </c>
      <c r="H21" s="45"/>
      <c r="I21" s="45"/>
      <c r="J21" s="45"/>
      <c r="K21" s="45"/>
      <c r="L21" s="45"/>
      <c r="M21" s="45"/>
      <c r="N21" s="45"/>
      <c r="O21" s="45"/>
      <c r="P21" s="45"/>
      <c r="Q21" s="45"/>
      <c r="R21" s="45"/>
      <c r="S21" s="45"/>
      <c r="T21" s="158"/>
      <c r="U21" s="158"/>
      <c r="V21" s="158"/>
      <c r="W21" s="158"/>
      <c r="X21" s="158"/>
      <c r="Y21" s="158"/>
      <c r="Z21" s="158"/>
    </row>
    <row r="22" spans="1:26" ht="28.5" customHeight="1" x14ac:dyDescent="0.3">
      <c r="A22" s="24" t="s">
        <v>1122</v>
      </c>
      <c r="B22" s="24" t="s">
        <v>1123</v>
      </c>
      <c r="C22" s="24" t="s">
        <v>72</v>
      </c>
      <c r="D22" s="25">
        <v>1933</v>
      </c>
      <c r="E22" s="25">
        <v>2086</v>
      </c>
      <c r="F22" s="25">
        <f t="shared" si="0"/>
        <v>-153</v>
      </c>
      <c r="G22" s="25">
        <f t="shared" si="2"/>
        <v>-7.3346116970278041</v>
      </c>
      <c r="H22" s="17"/>
      <c r="I22" s="17"/>
      <c r="J22" s="17"/>
      <c r="K22" s="17"/>
      <c r="L22" s="17"/>
      <c r="M22" s="17"/>
      <c r="N22" s="17"/>
      <c r="O22" s="17"/>
      <c r="P22" s="17"/>
      <c r="Q22" s="17"/>
      <c r="R22" s="17"/>
      <c r="S22" s="17"/>
      <c r="T22" s="158"/>
      <c r="U22" s="158"/>
      <c r="V22" s="158"/>
      <c r="W22" s="158"/>
      <c r="X22" s="158"/>
      <c r="Y22" s="158"/>
      <c r="Z22" s="158"/>
    </row>
    <row r="23" spans="1:26" ht="28.5" customHeight="1" x14ac:dyDescent="0.3">
      <c r="A23" s="32" t="s">
        <v>1124</v>
      </c>
      <c r="B23" s="32" t="s">
        <v>1125</v>
      </c>
      <c r="C23" s="24" t="s">
        <v>72</v>
      </c>
      <c r="D23" s="32">
        <v>376</v>
      </c>
      <c r="E23" s="32">
        <v>192</v>
      </c>
      <c r="F23" s="25">
        <f t="shared" si="0"/>
        <v>184</v>
      </c>
      <c r="G23" s="25">
        <f t="shared" si="2"/>
        <v>95.833333333333343</v>
      </c>
      <c r="H23" s="40"/>
      <c r="I23" s="41"/>
      <c r="J23" s="41"/>
      <c r="K23" s="41"/>
      <c r="L23" s="41"/>
      <c r="M23" s="41"/>
      <c r="N23" s="41"/>
      <c r="O23" s="41"/>
      <c r="P23" s="41"/>
      <c r="Q23" s="41"/>
      <c r="R23" s="41"/>
      <c r="S23" s="41"/>
      <c r="T23" s="158"/>
      <c r="U23" s="158"/>
      <c r="V23" s="158"/>
      <c r="W23" s="158"/>
      <c r="X23" s="158"/>
      <c r="Y23" s="158"/>
      <c r="Z23" s="158"/>
    </row>
    <row r="24" spans="1:26" ht="28.5" customHeight="1" x14ac:dyDescent="0.3">
      <c r="A24" s="32" t="s">
        <v>1126</v>
      </c>
      <c r="B24" s="32" t="s">
        <v>1127</v>
      </c>
      <c r="C24" s="24" t="s">
        <v>72</v>
      </c>
      <c r="D24" s="32">
        <v>190</v>
      </c>
      <c r="E24" s="32">
        <v>35</v>
      </c>
      <c r="F24" s="25">
        <f t="shared" si="0"/>
        <v>155</v>
      </c>
      <c r="G24" s="25">
        <f t="shared" si="2"/>
        <v>442.85714285714289</v>
      </c>
      <c r="H24" s="40"/>
      <c r="I24" s="41"/>
      <c r="J24" s="41"/>
      <c r="K24" s="41"/>
      <c r="L24" s="41"/>
      <c r="M24" s="41"/>
      <c r="N24" s="41"/>
      <c r="O24" s="41"/>
      <c r="P24" s="41"/>
      <c r="Q24" s="41"/>
      <c r="R24" s="41"/>
      <c r="S24" s="41"/>
      <c r="T24" s="158"/>
      <c r="U24" s="158"/>
      <c r="V24" s="158"/>
      <c r="W24" s="158"/>
      <c r="X24" s="158"/>
      <c r="Y24" s="158"/>
      <c r="Z24" s="158"/>
    </row>
    <row r="25" spans="1:26" ht="28.5" customHeight="1" x14ac:dyDescent="0.3">
      <c r="A25" s="24" t="s">
        <v>177</v>
      </c>
      <c r="B25" s="24"/>
      <c r="C25" s="24" t="s">
        <v>72</v>
      </c>
      <c r="D25" s="25">
        <v>1911</v>
      </c>
      <c r="E25" s="25">
        <v>2463</v>
      </c>
      <c r="F25" s="25">
        <f t="shared" si="0"/>
        <v>-552</v>
      </c>
      <c r="G25" s="25">
        <f t="shared" si="2"/>
        <v>-22.411693057247259</v>
      </c>
      <c r="H25" s="17"/>
      <c r="I25" s="17"/>
      <c r="J25" s="17"/>
      <c r="K25" s="17"/>
      <c r="L25" s="17"/>
      <c r="M25" s="17"/>
      <c r="N25" s="17"/>
      <c r="O25" s="17"/>
      <c r="P25" s="17"/>
      <c r="Q25" s="17"/>
      <c r="R25" s="17"/>
      <c r="S25" s="17"/>
      <c r="T25" s="158"/>
      <c r="U25" s="158"/>
      <c r="V25" s="158"/>
      <c r="W25" s="158"/>
      <c r="X25" s="158"/>
      <c r="Y25" s="158"/>
      <c r="Z25" s="158"/>
    </row>
    <row r="26" spans="1:26" ht="28.5" customHeight="1" x14ac:dyDescent="0.3">
      <c r="A26" s="30" t="s">
        <v>1128</v>
      </c>
      <c r="B26" s="30"/>
      <c r="C26" s="31" t="s">
        <v>72</v>
      </c>
      <c r="D26" s="22">
        <v>4410</v>
      </c>
      <c r="E26" s="22">
        <v>4776</v>
      </c>
      <c r="F26" s="22">
        <f t="shared" si="0"/>
        <v>-366</v>
      </c>
      <c r="G26" s="22">
        <f t="shared" si="2"/>
        <v>-7.6633165829145726</v>
      </c>
      <c r="H26" s="45"/>
      <c r="I26" s="45"/>
      <c r="J26" s="45"/>
      <c r="K26" s="45"/>
      <c r="L26" s="45"/>
      <c r="M26" s="45"/>
      <c r="N26" s="45"/>
      <c r="O26" s="45"/>
      <c r="P26" s="45"/>
      <c r="Q26" s="45"/>
      <c r="R26" s="45"/>
      <c r="S26" s="45"/>
      <c r="T26" s="158"/>
      <c r="U26" s="158"/>
      <c r="V26" s="158"/>
      <c r="W26" s="158"/>
      <c r="X26" s="158"/>
      <c r="Y26" s="158"/>
      <c r="Z26" s="158"/>
    </row>
    <row r="27" spans="1:26" ht="28.5" customHeight="1" x14ac:dyDescent="0.3">
      <c r="A27" s="24" t="s">
        <v>1129</v>
      </c>
      <c r="B27" s="24" t="s">
        <v>1074</v>
      </c>
      <c r="C27" s="24" t="s">
        <v>62</v>
      </c>
      <c r="D27" s="25">
        <v>3003</v>
      </c>
      <c r="E27" s="25">
        <v>3223</v>
      </c>
      <c r="F27" s="25">
        <f t="shared" si="0"/>
        <v>-220</v>
      </c>
      <c r="G27" s="25">
        <f t="shared" si="2"/>
        <v>-6.8259385665529013</v>
      </c>
      <c r="H27" s="17"/>
      <c r="I27" s="17"/>
      <c r="J27" s="17"/>
      <c r="K27" s="17"/>
      <c r="L27" s="17"/>
      <c r="M27" s="17"/>
      <c r="N27" s="17"/>
      <c r="O27" s="17"/>
      <c r="P27" s="17"/>
      <c r="Q27" s="17"/>
      <c r="R27" s="17"/>
      <c r="S27" s="17"/>
      <c r="T27" s="158"/>
      <c r="U27" s="158"/>
      <c r="V27" s="158"/>
      <c r="W27" s="158"/>
      <c r="X27" s="158"/>
      <c r="Y27" s="158"/>
      <c r="Z27" s="158"/>
    </row>
    <row r="28" spans="1:26" ht="28.5" customHeight="1" x14ac:dyDescent="0.3">
      <c r="A28" s="32" t="s">
        <v>1130</v>
      </c>
      <c r="B28" s="24" t="s">
        <v>1131</v>
      </c>
      <c r="C28" s="24" t="s">
        <v>62</v>
      </c>
      <c r="D28" s="25">
        <v>920</v>
      </c>
      <c r="E28" s="25">
        <v>361</v>
      </c>
      <c r="F28" s="25">
        <f t="shared" si="0"/>
        <v>559</v>
      </c>
      <c r="G28" s="25">
        <f t="shared" si="2"/>
        <v>154.8476454293629</v>
      </c>
      <c r="H28" s="17"/>
      <c r="I28" s="17"/>
      <c r="J28" s="17"/>
      <c r="K28" s="17"/>
      <c r="L28" s="17"/>
      <c r="M28" s="17"/>
      <c r="N28" s="17"/>
      <c r="O28" s="17"/>
      <c r="P28" s="17"/>
      <c r="Q28" s="17"/>
      <c r="R28" s="17"/>
      <c r="S28" s="17"/>
      <c r="T28" s="158"/>
      <c r="U28" s="158"/>
      <c r="V28" s="158"/>
      <c r="W28" s="158"/>
      <c r="X28" s="158"/>
      <c r="Y28" s="158"/>
      <c r="Z28" s="158"/>
    </row>
    <row r="29" spans="1:26" ht="28.5" customHeight="1" x14ac:dyDescent="0.3">
      <c r="A29" s="32" t="s">
        <v>1132</v>
      </c>
      <c r="B29" s="24" t="s">
        <v>1133</v>
      </c>
      <c r="C29" s="32" t="s">
        <v>62</v>
      </c>
      <c r="D29" s="25">
        <v>170</v>
      </c>
      <c r="E29" s="25">
        <v>26</v>
      </c>
      <c r="F29" s="25">
        <f t="shared" si="0"/>
        <v>144</v>
      </c>
      <c r="G29" s="25">
        <f t="shared" si="2"/>
        <v>553.84615384615381</v>
      </c>
      <c r="H29" s="17"/>
      <c r="I29" s="17"/>
      <c r="J29" s="17"/>
      <c r="K29" s="17"/>
      <c r="L29" s="17"/>
      <c r="M29" s="17"/>
      <c r="N29" s="17"/>
      <c r="O29" s="17"/>
      <c r="P29" s="17"/>
      <c r="Q29" s="17"/>
      <c r="R29" s="17"/>
      <c r="S29" s="17"/>
      <c r="T29" s="158"/>
      <c r="U29" s="158"/>
      <c r="V29" s="158"/>
      <c r="W29" s="158"/>
      <c r="X29" s="158"/>
      <c r="Y29" s="158"/>
      <c r="Z29" s="158"/>
    </row>
    <row r="30" spans="1:26" ht="28.5" customHeight="1" x14ac:dyDescent="0.3">
      <c r="A30" s="24" t="s">
        <v>130</v>
      </c>
      <c r="B30" s="24" t="s">
        <v>131</v>
      </c>
      <c r="C30" s="32" t="s">
        <v>62</v>
      </c>
      <c r="D30" s="25">
        <v>164</v>
      </c>
      <c r="E30" s="25">
        <v>103</v>
      </c>
      <c r="F30" s="25">
        <f t="shared" si="0"/>
        <v>61</v>
      </c>
      <c r="G30" s="25">
        <f t="shared" si="2"/>
        <v>59.22330097087378</v>
      </c>
      <c r="H30" s="17"/>
      <c r="I30" s="17"/>
      <c r="J30" s="17"/>
      <c r="K30" s="17"/>
      <c r="L30" s="17"/>
      <c r="M30" s="17"/>
      <c r="N30" s="17"/>
      <c r="O30" s="17"/>
      <c r="P30" s="17"/>
      <c r="Q30" s="17"/>
      <c r="R30" s="17"/>
      <c r="S30" s="17"/>
      <c r="T30" s="158"/>
      <c r="U30" s="158"/>
      <c r="V30" s="158"/>
      <c r="W30" s="158"/>
      <c r="X30" s="158"/>
      <c r="Y30" s="158"/>
      <c r="Z30" s="158"/>
    </row>
    <row r="31" spans="1:26" ht="28.5" customHeight="1" x14ac:dyDescent="0.3">
      <c r="A31" s="24" t="s">
        <v>1134</v>
      </c>
      <c r="B31" s="24" t="s">
        <v>1135</v>
      </c>
      <c r="C31" s="32" t="s">
        <v>62</v>
      </c>
      <c r="D31" s="24">
        <v>15</v>
      </c>
      <c r="E31" s="24">
        <v>0</v>
      </c>
      <c r="F31" s="25">
        <f t="shared" si="0"/>
        <v>15</v>
      </c>
      <c r="G31" s="25" t="s">
        <v>67</v>
      </c>
      <c r="H31" s="17"/>
      <c r="I31" s="17"/>
      <c r="J31" s="17"/>
      <c r="K31" s="17"/>
      <c r="L31" s="17"/>
      <c r="M31" s="17"/>
      <c r="N31" s="17"/>
      <c r="O31" s="17"/>
      <c r="P31" s="17"/>
      <c r="Q31" s="17"/>
      <c r="R31" s="17"/>
      <c r="S31" s="17"/>
      <c r="T31" s="158"/>
      <c r="U31" s="158"/>
      <c r="V31" s="158"/>
      <c r="W31" s="158"/>
      <c r="X31" s="158"/>
      <c r="Y31" s="158"/>
      <c r="Z31" s="158"/>
    </row>
    <row r="32" spans="1:26" ht="28.5" customHeight="1" x14ac:dyDescent="0.3">
      <c r="A32" s="24" t="s">
        <v>23</v>
      </c>
      <c r="B32" s="24"/>
      <c r="C32" s="24" t="s">
        <v>62</v>
      </c>
      <c r="D32" s="24">
        <v>51</v>
      </c>
      <c r="E32" s="24">
        <v>60</v>
      </c>
      <c r="F32" s="25">
        <f t="shared" si="0"/>
        <v>-9</v>
      </c>
      <c r="G32" s="25">
        <f t="shared" ref="G32:G52" si="3">(F32/E32)*100</f>
        <v>-15</v>
      </c>
      <c r="H32" s="17"/>
      <c r="I32" s="17"/>
      <c r="J32" s="17"/>
      <c r="K32" s="17"/>
      <c r="L32" s="17"/>
      <c r="M32" s="17"/>
      <c r="N32" s="17"/>
      <c r="O32" s="17"/>
      <c r="P32" s="17"/>
      <c r="Q32" s="17"/>
      <c r="R32" s="17"/>
      <c r="S32" s="17"/>
      <c r="T32" s="158"/>
      <c r="U32" s="158"/>
      <c r="V32" s="158"/>
      <c r="W32" s="158"/>
      <c r="X32" s="158"/>
      <c r="Y32" s="158"/>
      <c r="Z32" s="158"/>
    </row>
    <row r="33" spans="1:26" ht="28.5" customHeight="1" x14ac:dyDescent="0.3">
      <c r="A33" s="30" t="s">
        <v>633</v>
      </c>
      <c r="B33" s="30"/>
      <c r="C33" s="31" t="s">
        <v>62</v>
      </c>
      <c r="D33" s="22">
        <v>4323</v>
      </c>
      <c r="E33" s="22">
        <v>3773</v>
      </c>
      <c r="F33" s="22">
        <f t="shared" si="0"/>
        <v>550</v>
      </c>
      <c r="G33" s="22">
        <f t="shared" si="3"/>
        <v>14.577259475218659</v>
      </c>
      <c r="H33" s="45"/>
      <c r="I33" s="45"/>
      <c r="J33" s="45"/>
      <c r="K33" s="45"/>
      <c r="L33" s="45"/>
      <c r="M33" s="45"/>
      <c r="N33" s="45"/>
      <c r="O33" s="45"/>
      <c r="P33" s="45"/>
      <c r="Q33" s="45"/>
      <c r="R33" s="45"/>
      <c r="S33" s="45"/>
      <c r="T33" s="158"/>
      <c r="U33" s="158"/>
      <c r="V33" s="158"/>
      <c r="W33" s="158"/>
      <c r="X33" s="158"/>
      <c r="Y33" s="158"/>
      <c r="Z33" s="158"/>
    </row>
    <row r="34" spans="1:26" ht="28.5" customHeight="1" x14ac:dyDescent="0.3">
      <c r="A34" s="24" t="s">
        <v>1136</v>
      </c>
      <c r="B34" s="24" t="s">
        <v>1137</v>
      </c>
      <c r="C34" s="24" t="s">
        <v>129</v>
      </c>
      <c r="D34" s="25">
        <v>2497</v>
      </c>
      <c r="E34" s="25">
        <v>1726</v>
      </c>
      <c r="F34" s="25">
        <f t="shared" si="0"/>
        <v>771</v>
      </c>
      <c r="G34" s="25">
        <f t="shared" si="3"/>
        <v>44.669756662804176</v>
      </c>
      <c r="H34" s="17"/>
      <c r="I34" s="17"/>
      <c r="J34" s="17"/>
      <c r="K34" s="17"/>
      <c r="L34" s="17"/>
      <c r="M34" s="17"/>
      <c r="N34" s="17"/>
      <c r="O34" s="17"/>
      <c r="P34" s="17"/>
      <c r="Q34" s="17"/>
      <c r="R34" s="17"/>
      <c r="S34" s="17"/>
      <c r="T34" s="158"/>
      <c r="U34" s="158"/>
      <c r="V34" s="158"/>
      <c r="W34" s="158"/>
      <c r="X34" s="158"/>
      <c r="Y34" s="158"/>
      <c r="Z34" s="158"/>
    </row>
    <row r="35" spans="1:26" ht="28.5" customHeight="1" x14ac:dyDescent="0.3">
      <c r="A35" s="24" t="s">
        <v>23</v>
      </c>
      <c r="B35" s="24"/>
      <c r="C35" s="24" t="s">
        <v>129</v>
      </c>
      <c r="D35" s="24">
        <v>1</v>
      </c>
      <c r="E35" s="24">
        <v>24</v>
      </c>
      <c r="F35" s="25">
        <f t="shared" si="0"/>
        <v>-23</v>
      </c>
      <c r="G35" s="25">
        <f t="shared" si="3"/>
        <v>-95.833333333333343</v>
      </c>
      <c r="H35" s="17"/>
      <c r="I35" s="17"/>
      <c r="J35" s="17"/>
      <c r="K35" s="17"/>
      <c r="L35" s="17"/>
      <c r="M35" s="17"/>
      <c r="N35" s="17"/>
      <c r="O35" s="17"/>
      <c r="P35" s="17"/>
      <c r="Q35" s="17"/>
      <c r="R35" s="17"/>
      <c r="S35" s="17"/>
      <c r="T35" s="158"/>
      <c r="U35" s="158"/>
      <c r="V35" s="158"/>
      <c r="W35" s="158"/>
      <c r="X35" s="158"/>
      <c r="Y35" s="158"/>
      <c r="Z35" s="158"/>
    </row>
    <row r="36" spans="1:26" ht="28.5" customHeight="1" x14ac:dyDescent="0.3">
      <c r="A36" s="30" t="s">
        <v>1138</v>
      </c>
      <c r="B36" s="30"/>
      <c r="C36" s="31" t="s">
        <v>129</v>
      </c>
      <c r="D36" s="22">
        <v>2498</v>
      </c>
      <c r="E36" s="22">
        <v>1750</v>
      </c>
      <c r="F36" s="22">
        <f t="shared" si="0"/>
        <v>748</v>
      </c>
      <c r="G36" s="22">
        <f t="shared" si="3"/>
        <v>42.74285714285714</v>
      </c>
      <c r="H36" s="45"/>
      <c r="I36" s="45"/>
      <c r="J36" s="45"/>
      <c r="K36" s="45"/>
      <c r="L36" s="45"/>
      <c r="M36" s="45"/>
      <c r="N36" s="45"/>
      <c r="O36" s="45"/>
      <c r="P36" s="45"/>
      <c r="Q36" s="45"/>
      <c r="R36" s="45"/>
      <c r="S36" s="45"/>
      <c r="T36" s="158"/>
      <c r="U36" s="158"/>
      <c r="V36" s="158"/>
      <c r="W36" s="158"/>
      <c r="X36" s="158"/>
      <c r="Y36" s="158"/>
      <c r="Z36" s="158"/>
    </row>
    <row r="37" spans="1:26" ht="28.5" customHeight="1" x14ac:dyDescent="0.3">
      <c r="A37" s="24" t="s">
        <v>1139</v>
      </c>
      <c r="B37" s="24" t="s">
        <v>1140</v>
      </c>
      <c r="C37" s="24" t="s">
        <v>221</v>
      </c>
      <c r="D37" s="25">
        <v>1251</v>
      </c>
      <c r="E37" s="25">
        <v>1173</v>
      </c>
      <c r="F37" s="25">
        <f t="shared" si="0"/>
        <v>78</v>
      </c>
      <c r="G37" s="25">
        <f t="shared" si="3"/>
        <v>6.6496163682864458</v>
      </c>
      <c r="H37" s="17"/>
      <c r="I37" s="17"/>
      <c r="J37" s="17"/>
      <c r="K37" s="17"/>
      <c r="L37" s="17"/>
      <c r="M37" s="17"/>
      <c r="N37" s="17"/>
      <c r="O37" s="17"/>
      <c r="P37" s="17"/>
      <c r="Q37" s="17"/>
      <c r="R37" s="17"/>
      <c r="S37" s="17"/>
      <c r="T37" s="158"/>
      <c r="U37" s="158"/>
      <c r="V37" s="158"/>
      <c r="W37" s="158"/>
      <c r="X37" s="158"/>
      <c r="Y37" s="158"/>
      <c r="Z37" s="158"/>
    </row>
    <row r="38" spans="1:26" ht="28.5" customHeight="1" x14ac:dyDescent="0.3">
      <c r="A38" s="24" t="s">
        <v>1141</v>
      </c>
      <c r="B38" s="24" t="s">
        <v>1142</v>
      </c>
      <c r="C38" s="24" t="s">
        <v>221</v>
      </c>
      <c r="D38" s="24">
        <v>623</v>
      </c>
      <c r="E38" s="24">
        <v>630</v>
      </c>
      <c r="F38" s="25">
        <f t="shared" si="0"/>
        <v>-7</v>
      </c>
      <c r="G38" s="25">
        <f t="shared" si="3"/>
        <v>-1.1111111111111112</v>
      </c>
      <c r="H38" s="17"/>
      <c r="I38" s="17"/>
      <c r="J38" s="17"/>
      <c r="K38" s="17"/>
      <c r="L38" s="17"/>
      <c r="M38" s="17"/>
      <c r="N38" s="17"/>
      <c r="O38" s="17"/>
      <c r="P38" s="17"/>
      <c r="Q38" s="17"/>
      <c r="R38" s="17"/>
      <c r="S38" s="17"/>
      <c r="T38" s="158"/>
      <c r="U38" s="158"/>
      <c r="V38" s="158"/>
      <c r="W38" s="158"/>
      <c r="X38" s="158"/>
      <c r="Y38" s="158"/>
      <c r="Z38" s="158"/>
    </row>
    <row r="39" spans="1:26" ht="28.5" customHeight="1" x14ac:dyDescent="0.3">
      <c r="A39" s="24" t="s">
        <v>23</v>
      </c>
      <c r="B39" s="24"/>
      <c r="C39" s="24" t="s">
        <v>221</v>
      </c>
      <c r="D39" s="24">
        <v>26</v>
      </c>
      <c r="E39" s="24">
        <v>22</v>
      </c>
      <c r="F39" s="25">
        <f t="shared" si="0"/>
        <v>4</v>
      </c>
      <c r="G39" s="25">
        <f t="shared" si="3"/>
        <v>18.181818181818183</v>
      </c>
      <c r="H39" s="17"/>
      <c r="I39" s="17"/>
      <c r="J39" s="17"/>
      <c r="K39" s="17"/>
      <c r="L39" s="17"/>
      <c r="M39" s="17"/>
      <c r="N39" s="17"/>
      <c r="O39" s="17"/>
      <c r="P39" s="17"/>
      <c r="Q39" s="17"/>
      <c r="R39" s="17"/>
      <c r="S39" s="17"/>
      <c r="T39" s="158"/>
      <c r="U39" s="158"/>
      <c r="V39" s="158"/>
      <c r="W39" s="158"/>
      <c r="X39" s="158"/>
      <c r="Y39" s="158"/>
      <c r="Z39" s="158"/>
    </row>
    <row r="40" spans="1:26" ht="28.5" customHeight="1" x14ac:dyDescent="0.3">
      <c r="A40" s="30" t="s">
        <v>679</v>
      </c>
      <c r="B40" s="30"/>
      <c r="C40" s="31" t="s">
        <v>221</v>
      </c>
      <c r="D40" s="22">
        <v>1900</v>
      </c>
      <c r="E40" s="22">
        <v>1825</v>
      </c>
      <c r="F40" s="22">
        <f t="shared" si="0"/>
        <v>75</v>
      </c>
      <c r="G40" s="22">
        <f t="shared" si="3"/>
        <v>4.10958904109589</v>
      </c>
      <c r="H40" s="45"/>
      <c r="I40" s="45"/>
      <c r="J40" s="45"/>
      <c r="K40" s="45"/>
      <c r="L40" s="45"/>
      <c r="M40" s="45"/>
      <c r="N40" s="45"/>
      <c r="O40" s="45"/>
      <c r="P40" s="45"/>
      <c r="Q40" s="45"/>
      <c r="R40" s="45"/>
      <c r="S40" s="45"/>
      <c r="T40" s="158"/>
      <c r="U40" s="158"/>
      <c r="V40" s="158"/>
      <c r="W40" s="158"/>
      <c r="X40" s="158"/>
      <c r="Y40" s="158"/>
      <c r="Z40" s="158"/>
    </row>
    <row r="41" spans="1:26" ht="28.5" customHeight="1" x14ac:dyDescent="0.3">
      <c r="A41" s="24" t="s">
        <v>1143</v>
      </c>
      <c r="B41" s="24" t="s">
        <v>1144</v>
      </c>
      <c r="C41" s="24" t="s">
        <v>201</v>
      </c>
      <c r="D41" s="25">
        <v>1199</v>
      </c>
      <c r="E41" s="25">
        <v>1297</v>
      </c>
      <c r="F41" s="25">
        <f t="shared" si="0"/>
        <v>-98</v>
      </c>
      <c r="G41" s="25">
        <f t="shared" si="3"/>
        <v>-7.5558982266769465</v>
      </c>
      <c r="H41" s="17"/>
      <c r="I41" s="17"/>
      <c r="J41" s="17"/>
      <c r="K41" s="17"/>
      <c r="L41" s="17"/>
      <c r="M41" s="17"/>
      <c r="N41" s="17"/>
      <c r="O41" s="17"/>
      <c r="P41" s="17"/>
      <c r="Q41" s="17"/>
      <c r="R41" s="17"/>
      <c r="S41" s="17"/>
      <c r="T41" s="158"/>
      <c r="U41" s="158"/>
      <c r="V41" s="158"/>
      <c r="W41" s="158"/>
      <c r="X41" s="158"/>
      <c r="Y41" s="158"/>
      <c r="Z41" s="158"/>
    </row>
    <row r="42" spans="1:26" ht="28.5" customHeight="1" x14ac:dyDescent="0.3">
      <c r="A42" s="24" t="s">
        <v>1145</v>
      </c>
      <c r="B42" s="24" t="s">
        <v>1146</v>
      </c>
      <c r="C42" s="24" t="s">
        <v>129</v>
      </c>
      <c r="D42" s="25">
        <v>1003</v>
      </c>
      <c r="E42" s="25">
        <v>1064</v>
      </c>
      <c r="F42" s="25">
        <f t="shared" si="0"/>
        <v>-61</v>
      </c>
      <c r="G42" s="25">
        <f t="shared" si="3"/>
        <v>-5.7330827067669166</v>
      </c>
      <c r="H42" s="17"/>
      <c r="I42" s="17"/>
      <c r="J42" s="17"/>
      <c r="K42" s="17"/>
      <c r="L42" s="17"/>
      <c r="M42" s="17"/>
      <c r="N42" s="17"/>
      <c r="O42" s="17"/>
      <c r="P42" s="17"/>
      <c r="Q42" s="17"/>
      <c r="R42" s="17"/>
      <c r="S42" s="17"/>
      <c r="T42" s="158"/>
      <c r="U42" s="158"/>
      <c r="V42" s="158"/>
      <c r="W42" s="158"/>
      <c r="X42" s="158"/>
      <c r="Y42" s="158"/>
      <c r="Z42" s="158"/>
    </row>
    <row r="43" spans="1:26" ht="28.5" customHeight="1" x14ac:dyDescent="0.3">
      <c r="A43" s="24" t="s">
        <v>1147</v>
      </c>
      <c r="B43" s="24" t="s">
        <v>1148</v>
      </c>
      <c r="C43" s="24" t="s">
        <v>129</v>
      </c>
      <c r="D43" s="25">
        <v>980</v>
      </c>
      <c r="E43" s="25">
        <v>1025</v>
      </c>
      <c r="F43" s="25">
        <f t="shared" si="0"/>
        <v>-45</v>
      </c>
      <c r="G43" s="25">
        <f t="shared" si="3"/>
        <v>-4.3902439024390238</v>
      </c>
      <c r="H43" s="17"/>
      <c r="I43" s="17"/>
      <c r="J43" s="17"/>
      <c r="K43" s="17"/>
      <c r="L43" s="17"/>
      <c r="M43" s="17"/>
      <c r="N43" s="17"/>
      <c r="O43" s="17"/>
      <c r="P43" s="17"/>
      <c r="Q43" s="17"/>
      <c r="R43" s="17"/>
      <c r="S43" s="17"/>
      <c r="T43" s="158"/>
      <c r="U43" s="158"/>
      <c r="V43" s="158"/>
      <c r="W43" s="158"/>
      <c r="X43" s="158"/>
      <c r="Y43" s="158"/>
      <c r="Z43" s="158"/>
    </row>
    <row r="44" spans="1:26" ht="28.5" customHeight="1" x14ac:dyDescent="0.3">
      <c r="A44" s="24" t="s">
        <v>1149</v>
      </c>
      <c r="B44" s="24" t="s">
        <v>1100</v>
      </c>
      <c r="C44" s="24" t="s">
        <v>43</v>
      </c>
      <c r="D44" s="24">
        <v>452</v>
      </c>
      <c r="E44" s="24">
        <v>485</v>
      </c>
      <c r="F44" s="25">
        <f t="shared" si="0"/>
        <v>-33</v>
      </c>
      <c r="G44" s="25">
        <f t="shared" si="3"/>
        <v>-6.804123711340206</v>
      </c>
      <c r="H44" s="17"/>
      <c r="I44" s="17"/>
      <c r="J44" s="17"/>
      <c r="K44" s="17"/>
      <c r="L44" s="17"/>
      <c r="M44" s="17"/>
      <c r="N44" s="17"/>
      <c r="O44" s="17"/>
      <c r="P44" s="17"/>
      <c r="Q44" s="17"/>
      <c r="R44" s="17"/>
      <c r="S44" s="17"/>
      <c r="T44" s="158"/>
      <c r="U44" s="158"/>
      <c r="V44" s="158"/>
      <c r="W44" s="158"/>
      <c r="X44" s="158"/>
      <c r="Y44" s="158"/>
      <c r="Z44" s="158"/>
    </row>
    <row r="45" spans="1:26" ht="28.5" customHeight="1" x14ac:dyDescent="0.3">
      <c r="A45" s="24" t="s">
        <v>1150</v>
      </c>
      <c r="B45" s="24" t="s">
        <v>1151</v>
      </c>
      <c r="C45" s="24" t="s">
        <v>62</v>
      </c>
      <c r="D45" s="24">
        <v>393</v>
      </c>
      <c r="E45" s="24">
        <v>419</v>
      </c>
      <c r="F45" s="25">
        <f t="shared" si="0"/>
        <v>-26</v>
      </c>
      <c r="G45" s="25">
        <f t="shared" si="3"/>
        <v>-6.2052505966587113</v>
      </c>
      <c r="H45" s="17"/>
      <c r="I45" s="17"/>
      <c r="J45" s="17"/>
      <c r="K45" s="17"/>
      <c r="L45" s="17"/>
      <c r="M45" s="17"/>
      <c r="N45" s="17"/>
      <c r="O45" s="17"/>
      <c r="P45" s="17"/>
      <c r="Q45" s="17"/>
      <c r="R45" s="17"/>
      <c r="S45" s="17"/>
      <c r="T45" s="158"/>
      <c r="U45" s="158"/>
      <c r="V45" s="158"/>
      <c r="W45" s="158"/>
      <c r="X45" s="158"/>
      <c r="Y45" s="158"/>
      <c r="Z45" s="158"/>
    </row>
    <row r="46" spans="1:26" ht="28.5" customHeight="1" x14ac:dyDescent="0.3">
      <c r="A46" s="24" t="s">
        <v>1152</v>
      </c>
      <c r="B46" s="24" t="s">
        <v>1153</v>
      </c>
      <c r="C46" s="11" t="s">
        <v>89</v>
      </c>
      <c r="D46" s="24">
        <v>360</v>
      </c>
      <c r="E46" s="24">
        <v>417</v>
      </c>
      <c r="F46" s="25">
        <f t="shared" si="0"/>
        <v>-57</v>
      </c>
      <c r="G46" s="25">
        <f t="shared" si="3"/>
        <v>-13.669064748201439</v>
      </c>
      <c r="H46" s="17"/>
      <c r="I46" s="17"/>
      <c r="J46" s="17"/>
      <c r="K46" s="17"/>
      <c r="L46" s="17"/>
      <c r="M46" s="17"/>
      <c r="N46" s="17"/>
      <c r="O46" s="17"/>
      <c r="P46" s="17"/>
      <c r="Q46" s="17"/>
      <c r="R46" s="17"/>
      <c r="S46" s="17"/>
      <c r="T46" s="158"/>
      <c r="U46" s="158"/>
      <c r="V46" s="158"/>
      <c r="W46" s="158"/>
      <c r="X46" s="158"/>
      <c r="Y46" s="158"/>
      <c r="Z46" s="158"/>
    </row>
    <row r="47" spans="1:26" ht="28.5" customHeight="1" x14ac:dyDescent="0.3">
      <c r="A47" s="24" t="s">
        <v>23</v>
      </c>
      <c r="B47" s="24"/>
      <c r="C47" s="24"/>
      <c r="D47" s="25">
        <v>1916</v>
      </c>
      <c r="E47" s="25">
        <v>2291</v>
      </c>
      <c r="F47" s="25">
        <f t="shared" si="0"/>
        <v>-375</v>
      </c>
      <c r="G47" s="25">
        <f t="shared" si="3"/>
        <v>-16.368398079441292</v>
      </c>
      <c r="H47" s="17"/>
      <c r="I47" s="17"/>
      <c r="J47" s="17"/>
      <c r="K47" s="17"/>
      <c r="L47" s="17"/>
      <c r="M47" s="17"/>
      <c r="N47" s="17"/>
      <c r="O47" s="17"/>
      <c r="P47" s="17"/>
      <c r="Q47" s="17"/>
      <c r="R47" s="17"/>
      <c r="S47" s="17"/>
      <c r="T47" s="158"/>
      <c r="U47" s="158"/>
      <c r="V47" s="158"/>
      <c r="W47" s="158"/>
      <c r="X47" s="158"/>
      <c r="Y47" s="158"/>
      <c r="Z47" s="158"/>
    </row>
    <row r="48" spans="1:26" ht="28.5" customHeight="1" x14ac:dyDescent="0.3">
      <c r="A48" s="30" t="s">
        <v>1154</v>
      </c>
      <c r="B48" s="30"/>
      <c r="C48" s="30"/>
      <c r="D48" s="22">
        <v>6303</v>
      </c>
      <c r="E48" s="22">
        <v>6998</v>
      </c>
      <c r="F48" s="22">
        <f t="shared" si="0"/>
        <v>-695</v>
      </c>
      <c r="G48" s="22">
        <f t="shared" si="3"/>
        <v>-9.9314089739925695</v>
      </c>
      <c r="H48" s="45"/>
      <c r="I48" s="45"/>
      <c r="J48" s="45"/>
      <c r="K48" s="45"/>
      <c r="L48" s="45"/>
      <c r="M48" s="45"/>
      <c r="N48" s="45"/>
      <c r="O48" s="45"/>
      <c r="P48" s="45"/>
      <c r="Q48" s="45"/>
      <c r="R48" s="45"/>
      <c r="S48" s="45"/>
      <c r="T48" s="158"/>
      <c r="U48" s="158"/>
      <c r="V48" s="158"/>
      <c r="W48" s="158"/>
      <c r="X48" s="158"/>
      <c r="Y48" s="158"/>
      <c r="Z48" s="158"/>
    </row>
    <row r="49" spans="1:26" ht="28.5" customHeight="1" x14ac:dyDescent="0.3">
      <c r="A49" s="30" t="s">
        <v>1155</v>
      </c>
      <c r="B49" s="30"/>
      <c r="C49" s="30"/>
      <c r="D49" s="22">
        <v>24302</v>
      </c>
      <c r="E49" s="22">
        <v>23344</v>
      </c>
      <c r="F49" s="22">
        <f t="shared" si="0"/>
        <v>958</v>
      </c>
      <c r="G49" s="22">
        <f t="shared" si="3"/>
        <v>4.1038382453735434</v>
      </c>
      <c r="H49" s="45"/>
      <c r="I49" s="45"/>
      <c r="J49" s="45"/>
      <c r="K49" s="45"/>
      <c r="L49" s="45"/>
      <c r="M49" s="45"/>
      <c r="N49" s="45"/>
      <c r="O49" s="45"/>
      <c r="P49" s="45"/>
      <c r="Q49" s="45"/>
      <c r="R49" s="45"/>
      <c r="S49" s="45"/>
      <c r="T49" s="158"/>
      <c r="U49" s="158"/>
      <c r="V49" s="158"/>
      <c r="W49" s="158"/>
      <c r="X49" s="158"/>
      <c r="Y49" s="158"/>
      <c r="Z49" s="158"/>
    </row>
    <row r="50" spans="1:26" ht="28.5" customHeight="1" x14ac:dyDescent="0.3">
      <c r="A50" s="30" t="s">
        <v>1156</v>
      </c>
      <c r="B50" s="30"/>
      <c r="C50" s="30"/>
      <c r="D50" s="22">
        <v>39013</v>
      </c>
      <c r="E50" s="22">
        <v>37714</v>
      </c>
      <c r="F50" s="22">
        <f t="shared" si="0"/>
        <v>1299</v>
      </c>
      <c r="G50" s="22">
        <f t="shared" si="3"/>
        <v>3.444344275335419</v>
      </c>
      <c r="H50" s="45"/>
      <c r="I50" s="45"/>
      <c r="J50" s="45"/>
      <c r="K50" s="45"/>
      <c r="L50" s="45"/>
      <c r="M50" s="45"/>
      <c r="N50" s="45"/>
      <c r="O50" s="45"/>
      <c r="P50" s="45"/>
      <c r="Q50" s="45"/>
      <c r="R50" s="45"/>
      <c r="S50" s="45"/>
      <c r="T50" s="158"/>
      <c r="U50" s="158"/>
      <c r="V50" s="158"/>
      <c r="W50" s="158"/>
      <c r="X50" s="158"/>
      <c r="Y50" s="158"/>
      <c r="Z50" s="158"/>
    </row>
    <row r="51" spans="1:26" ht="28.5" customHeight="1" x14ac:dyDescent="0.3">
      <c r="A51" s="30" t="s">
        <v>1157</v>
      </c>
      <c r="B51" s="30"/>
      <c r="C51" s="30"/>
      <c r="D51" s="22">
        <v>9646</v>
      </c>
      <c r="E51" s="22">
        <v>9731</v>
      </c>
      <c r="F51" s="22">
        <f t="shared" si="0"/>
        <v>-85</v>
      </c>
      <c r="G51" s="22">
        <f t="shared" si="3"/>
        <v>-0.87349707121570241</v>
      </c>
      <c r="H51" s="45"/>
      <c r="I51" s="45"/>
      <c r="J51" s="45"/>
      <c r="K51" s="45"/>
      <c r="L51" s="45"/>
      <c r="M51" s="45"/>
      <c r="N51" s="45"/>
      <c r="O51" s="45"/>
      <c r="P51" s="45"/>
      <c r="Q51" s="45"/>
      <c r="R51" s="45"/>
      <c r="S51" s="45"/>
      <c r="T51" s="158"/>
      <c r="U51" s="158"/>
      <c r="V51" s="158"/>
      <c r="W51" s="158"/>
      <c r="X51" s="158"/>
      <c r="Y51" s="158"/>
      <c r="Z51" s="158"/>
    </row>
    <row r="52" spans="1:26" ht="28.5" customHeight="1" x14ac:dyDescent="0.3">
      <c r="A52" s="30" t="s">
        <v>1158</v>
      </c>
      <c r="B52" s="30"/>
      <c r="C52" s="30"/>
      <c r="D52" s="22">
        <v>48659</v>
      </c>
      <c r="E52" s="22">
        <v>47445</v>
      </c>
      <c r="F52" s="22">
        <f t="shared" si="0"/>
        <v>1214</v>
      </c>
      <c r="G52" s="22">
        <f t="shared" si="3"/>
        <v>2.5587522394351354</v>
      </c>
      <c r="H52" s="45"/>
      <c r="I52" s="45"/>
      <c r="J52" s="45"/>
      <c r="K52" s="45"/>
      <c r="L52" s="45"/>
      <c r="M52" s="45"/>
      <c r="N52" s="45"/>
      <c r="O52" s="45"/>
      <c r="P52" s="45"/>
      <c r="Q52" s="45"/>
      <c r="R52" s="45"/>
      <c r="S52" s="45"/>
      <c r="T52" s="158"/>
      <c r="U52" s="158"/>
      <c r="V52" s="158"/>
      <c r="W52" s="158"/>
      <c r="X52" s="158"/>
      <c r="Y52" s="158"/>
      <c r="Z52" s="158"/>
    </row>
  </sheetData>
  <pageMargins left="0.7" right="0.7" top="0.75" bottom="0.75" header="0" footer="0"/>
  <pageSetup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2A5DB0"/>
  </sheetPr>
  <dimension ref="A1:Z28"/>
  <sheetViews>
    <sheetView workbookViewId="0">
      <pane ySplit="1" topLeftCell="A2" activePane="bottomLeft" state="frozen"/>
      <selection pane="bottomLeft"/>
    </sheetView>
  </sheetViews>
  <sheetFormatPr defaultColWidth="14.44140625" defaultRowHeight="15.75" customHeight="1" x14ac:dyDescent="0.25"/>
  <cols>
    <col min="1" max="1" width="36.5546875" customWidth="1"/>
    <col min="2" max="2" width="30.6640625" customWidth="1"/>
    <col min="3" max="5" width="26.44140625" customWidth="1"/>
    <col min="6" max="7" width="15.6640625" customWidth="1"/>
    <col min="8" max="8" width="9.109375" customWidth="1"/>
    <col min="9" max="9" width="11.88671875" customWidth="1"/>
    <col min="10" max="26" width="9.109375" customWidth="1"/>
  </cols>
  <sheetData>
    <row r="1" spans="1:26" ht="34.5" customHeight="1" x14ac:dyDescent="0.25">
      <c r="A1" s="28" t="s">
        <v>1785</v>
      </c>
      <c r="B1" s="8" t="s">
        <v>10</v>
      </c>
      <c r="C1" s="8" t="s">
        <v>11</v>
      </c>
      <c r="D1" s="8" t="s">
        <v>1687</v>
      </c>
      <c r="E1" s="8" t="s">
        <v>1688</v>
      </c>
      <c r="F1" s="8" t="s">
        <v>1682</v>
      </c>
      <c r="G1" s="60" t="s">
        <v>1683</v>
      </c>
      <c r="H1" s="17"/>
      <c r="I1" s="17"/>
      <c r="J1" s="17"/>
      <c r="K1" s="17"/>
      <c r="L1" s="17"/>
      <c r="M1" s="17"/>
      <c r="N1" s="17"/>
      <c r="O1" s="17"/>
      <c r="P1" s="17"/>
      <c r="Q1" s="17"/>
      <c r="R1" s="17"/>
      <c r="S1" s="17"/>
      <c r="T1" s="17"/>
      <c r="U1" s="17"/>
      <c r="V1" s="17"/>
      <c r="W1" s="17"/>
      <c r="X1" s="17"/>
      <c r="Y1" s="17"/>
      <c r="Z1" s="17"/>
    </row>
    <row r="2" spans="1:26" ht="28.5" customHeight="1" x14ac:dyDescent="0.25">
      <c r="A2" s="30" t="s">
        <v>1786</v>
      </c>
      <c r="B2" s="26"/>
      <c r="C2" s="31" t="s">
        <v>201</v>
      </c>
      <c r="D2" s="22">
        <v>18439</v>
      </c>
      <c r="E2" s="22">
        <v>20776</v>
      </c>
      <c r="F2" s="22">
        <f t="shared" ref="F2:F28" si="0">D2-E2</f>
        <v>-2337</v>
      </c>
      <c r="G2" s="22">
        <f t="shared" ref="G2:G28" si="1">(F2/E2)*100</f>
        <v>-11.248556026184058</v>
      </c>
      <c r="H2" s="16"/>
      <c r="I2" s="17"/>
      <c r="J2" s="17"/>
      <c r="K2" s="17"/>
      <c r="L2" s="17"/>
      <c r="M2" s="17"/>
      <c r="N2" s="17"/>
      <c r="O2" s="17"/>
      <c r="P2" s="17"/>
      <c r="Q2" s="17"/>
      <c r="R2" s="17"/>
      <c r="S2" s="17"/>
      <c r="T2" s="17"/>
      <c r="U2" s="17"/>
      <c r="V2" s="17"/>
      <c r="W2" s="17"/>
      <c r="X2" s="17"/>
      <c r="Y2" s="17"/>
      <c r="Z2" s="17"/>
    </row>
    <row r="3" spans="1:26" ht="28.5" customHeight="1" x14ac:dyDescent="0.25">
      <c r="A3" s="24" t="s">
        <v>1160</v>
      </c>
      <c r="B3" s="11" t="s">
        <v>1161</v>
      </c>
      <c r="C3" s="24" t="s">
        <v>201</v>
      </c>
      <c r="D3" s="25">
        <v>8968</v>
      </c>
      <c r="E3" s="25">
        <v>9259</v>
      </c>
      <c r="F3" s="25">
        <f t="shared" si="0"/>
        <v>-291</v>
      </c>
      <c r="G3" s="25">
        <f t="shared" si="1"/>
        <v>-3.1428880008640241</v>
      </c>
      <c r="H3" s="16"/>
      <c r="I3" s="16"/>
      <c r="J3" s="17"/>
      <c r="K3" s="17"/>
      <c r="L3" s="17"/>
      <c r="M3" s="17"/>
      <c r="N3" s="17"/>
      <c r="O3" s="17"/>
      <c r="P3" s="17"/>
      <c r="Q3" s="17"/>
      <c r="R3" s="17"/>
      <c r="S3" s="17"/>
      <c r="T3" s="17"/>
      <c r="U3" s="17"/>
      <c r="V3" s="17"/>
      <c r="W3" s="17"/>
      <c r="X3" s="17"/>
      <c r="Y3" s="17"/>
      <c r="Z3" s="17"/>
    </row>
    <row r="4" spans="1:26" ht="28.5" customHeight="1" x14ac:dyDescent="0.25">
      <c r="A4" s="24" t="s">
        <v>1162</v>
      </c>
      <c r="B4" s="11" t="s">
        <v>1163</v>
      </c>
      <c r="C4" s="24" t="s">
        <v>201</v>
      </c>
      <c r="D4" s="25">
        <v>2444</v>
      </c>
      <c r="E4" s="25">
        <v>2210</v>
      </c>
      <c r="F4" s="25">
        <f t="shared" si="0"/>
        <v>234</v>
      </c>
      <c r="G4" s="25">
        <f t="shared" si="1"/>
        <v>10.588235294117647</v>
      </c>
      <c r="H4" s="16"/>
      <c r="I4" s="17"/>
      <c r="J4" s="17"/>
      <c r="K4" s="17"/>
      <c r="L4" s="17"/>
      <c r="M4" s="17"/>
      <c r="N4" s="17"/>
      <c r="O4" s="17"/>
      <c r="P4" s="17"/>
      <c r="Q4" s="17"/>
      <c r="R4" s="17"/>
      <c r="S4" s="17"/>
      <c r="T4" s="17"/>
      <c r="U4" s="17"/>
      <c r="V4" s="17"/>
      <c r="W4" s="17"/>
      <c r="X4" s="17"/>
      <c r="Y4" s="17"/>
      <c r="Z4" s="17"/>
    </row>
    <row r="5" spans="1:26" ht="28.5" customHeight="1" x14ac:dyDescent="0.25">
      <c r="A5" s="24" t="s">
        <v>1164</v>
      </c>
      <c r="B5" s="11" t="s">
        <v>1165</v>
      </c>
      <c r="C5" s="24" t="s">
        <v>201</v>
      </c>
      <c r="D5" s="50">
        <v>7027</v>
      </c>
      <c r="E5" s="50">
        <v>9307</v>
      </c>
      <c r="F5" s="25">
        <f t="shared" si="0"/>
        <v>-2280</v>
      </c>
      <c r="G5" s="25">
        <f t="shared" si="1"/>
        <v>-24.497689910819815</v>
      </c>
      <c r="H5" s="16"/>
      <c r="I5" s="17"/>
      <c r="J5" s="17"/>
      <c r="K5" s="17"/>
      <c r="L5" s="17"/>
      <c r="M5" s="17"/>
      <c r="N5" s="17"/>
      <c r="O5" s="17"/>
      <c r="P5" s="17"/>
      <c r="Q5" s="17"/>
      <c r="R5" s="17"/>
      <c r="S5" s="17"/>
      <c r="T5" s="17"/>
      <c r="U5" s="17"/>
      <c r="V5" s="17"/>
      <c r="W5" s="17"/>
      <c r="X5" s="17"/>
      <c r="Y5" s="17"/>
      <c r="Z5" s="17"/>
    </row>
    <row r="6" spans="1:26" ht="28.5" customHeight="1" x14ac:dyDescent="0.25">
      <c r="A6" s="30" t="s">
        <v>1166</v>
      </c>
      <c r="B6" s="26"/>
      <c r="C6" s="31" t="s">
        <v>201</v>
      </c>
      <c r="D6" s="22">
        <v>10925</v>
      </c>
      <c r="E6" s="22">
        <v>10578</v>
      </c>
      <c r="F6" s="22">
        <f t="shared" si="0"/>
        <v>347</v>
      </c>
      <c r="G6" s="22">
        <f t="shared" si="1"/>
        <v>3.2803932690489694</v>
      </c>
      <c r="H6" s="177"/>
      <c r="I6" s="45"/>
      <c r="J6" s="45"/>
      <c r="K6" s="45"/>
      <c r="L6" s="45"/>
      <c r="M6" s="45"/>
      <c r="N6" s="45"/>
      <c r="O6" s="45"/>
      <c r="P6" s="45"/>
      <c r="Q6" s="45"/>
      <c r="R6" s="45"/>
      <c r="S6" s="45"/>
      <c r="T6" s="45"/>
      <c r="U6" s="45"/>
      <c r="V6" s="45"/>
      <c r="W6" s="45"/>
      <c r="X6" s="45"/>
      <c r="Y6" s="45"/>
      <c r="Z6" s="45"/>
    </row>
    <row r="7" spans="1:26" ht="28.5" customHeight="1" x14ac:dyDescent="0.25">
      <c r="A7" s="24" t="s">
        <v>1167</v>
      </c>
      <c r="B7" s="11" t="s">
        <v>1168</v>
      </c>
      <c r="C7" s="24" t="s">
        <v>201</v>
      </c>
      <c r="D7" s="25">
        <v>1291</v>
      </c>
      <c r="E7" s="25">
        <v>993</v>
      </c>
      <c r="F7" s="25">
        <f t="shared" si="0"/>
        <v>298</v>
      </c>
      <c r="G7" s="25">
        <f t="shared" si="1"/>
        <v>30.010070493454176</v>
      </c>
      <c r="H7" s="17"/>
      <c r="I7" s="17"/>
      <c r="J7" s="17"/>
      <c r="K7" s="17"/>
      <c r="L7" s="17"/>
      <c r="M7" s="17"/>
      <c r="N7" s="17"/>
      <c r="O7" s="17"/>
      <c r="P7" s="17"/>
      <c r="Q7" s="17"/>
      <c r="R7" s="17"/>
      <c r="S7" s="17"/>
      <c r="T7" s="17"/>
      <c r="U7" s="17"/>
      <c r="V7" s="17"/>
      <c r="W7" s="17"/>
      <c r="X7" s="17"/>
      <c r="Y7" s="17"/>
      <c r="Z7" s="17"/>
    </row>
    <row r="8" spans="1:26" ht="28.5" customHeight="1" x14ac:dyDescent="0.25">
      <c r="A8" s="24" t="s">
        <v>1169</v>
      </c>
      <c r="B8" s="11" t="s">
        <v>1170</v>
      </c>
      <c r="C8" s="24" t="s">
        <v>201</v>
      </c>
      <c r="D8" s="25">
        <v>9634</v>
      </c>
      <c r="E8" s="25">
        <v>9585</v>
      </c>
      <c r="F8" s="25">
        <f t="shared" si="0"/>
        <v>49</v>
      </c>
      <c r="G8" s="25">
        <f t="shared" si="1"/>
        <v>0.5112154407929056</v>
      </c>
      <c r="H8" s="16"/>
      <c r="I8" s="17"/>
      <c r="J8" s="45"/>
      <c r="K8" s="45"/>
      <c r="L8" s="45"/>
      <c r="M8" s="45"/>
      <c r="N8" s="45"/>
      <c r="O8" s="45"/>
      <c r="P8" s="45"/>
      <c r="Q8" s="45"/>
      <c r="R8" s="45"/>
      <c r="S8" s="45"/>
      <c r="T8" s="45"/>
      <c r="U8" s="45"/>
      <c r="V8" s="45"/>
      <c r="W8" s="45"/>
      <c r="X8" s="45"/>
      <c r="Y8" s="45"/>
      <c r="Z8" s="45"/>
    </row>
    <row r="9" spans="1:26" ht="28.5" customHeight="1" x14ac:dyDescent="0.25">
      <c r="A9" s="30" t="s">
        <v>1171</v>
      </c>
      <c r="B9" s="30"/>
      <c r="C9" s="31" t="s">
        <v>201</v>
      </c>
      <c r="D9" s="22">
        <v>18313</v>
      </c>
      <c r="E9" s="22">
        <v>19303</v>
      </c>
      <c r="F9" s="22">
        <f t="shared" si="0"/>
        <v>-990</v>
      </c>
      <c r="G9" s="22">
        <f t="shared" si="1"/>
        <v>-5.1287364658343266</v>
      </c>
      <c r="H9" s="17"/>
      <c r="I9" s="17"/>
      <c r="J9" s="17"/>
      <c r="K9" s="17"/>
      <c r="L9" s="17"/>
      <c r="M9" s="17"/>
      <c r="N9" s="17"/>
      <c r="O9" s="17"/>
      <c r="P9" s="17"/>
      <c r="Q9" s="17"/>
      <c r="R9" s="17"/>
      <c r="S9" s="17"/>
      <c r="T9" s="17"/>
      <c r="U9" s="17"/>
      <c r="V9" s="17"/>
      <c r="W9" s="17"/>
      <c r="X9" s="17"/>
      <c r="Y9" s="17"/>
      <c r="Z9" s="17"/>
    </row>
    <row r="10" spans="1:26" ht="28.5" customHeight="1" x14ac:dyDescent="0.25">
      <c r="A10" s="24" t="s">
        <v>1172</v>
      </c>
      <c r="B10" s="11" t="s">
        <v>1173</v>
      </c>
      <c r="C10" s="24" t="s">
        <v>201</v>
      </c>
      <c r="D10" s="25">
        <v>1385</v>
      </c>
      <c r="E10" s="25">
        <v>1243</v>
      </c>
      <c r="F10" s="25">
        <f t="shared" si="0"/>
        <v>142</v>
      </c>
      <c r="G10" s="25">
        <f t="shared" si="1"/>
        <v>11.423974255832663</v>
      </c>
      <c r="H10" s="16"/>
      <c r="I10" s="17"/>
      <c r="J10" s="17"/>
      <c r="K10" s="17"/>
      <c r="L10" s="17"/>
      <c r="M10" s="17"/>
      <c r="N10" s="17"/>
      <c r="O10" s="17"/>
      <c r="P10" s="17"/>
      <c r="Q10" s="17"/>
      <c r="R10" s="17"/>
      <c r="S10" s="17"/>
      <c r="T10" s="17"/>
      <c r="U10" s="17"/>
      <c r="V10" s="17"/>
      <c r="W10" s="17"/>
      <c r="X10" s="17"/>
      <c r="Y10" s="17"/>
      <c r="Z10" s="17"/>
    </row>
    <row r="11" spans="1:26" ht="28.5" customHeight="1" x14ac:dyDescent="0.25">
      <c r="A11" s="24" t="s">
        <v>1174</v>
      </c>
      <c r="B11" s="11" t="s">
        <v>1173</v>
      </c>
      <c r="C11" s="24" t="s">
        <v>201</v>
      </c>
      <c r="D11" s="25">
        <v>16928</v>
      </c>
      <c r="E11" s="25">
        <v>18060</v>
      </c>
      <c r="F11" s="25">
        <f t="shared" si="0"/>
        <v>-1132</v>
      </c>
      <c r="G11" s="25">
        <f t="shared" si="1"/>
        <v>-6.2679955703211512</v>
      </c>
      <c r="H11" s="16"/>
      <c r="I11" s="17"/>
      <c r="J11" s="17"/>
      <c r="K11" s="17"/>
      <c r="L11" s="17"/>
      <c r="M11" s="17"/>
      <c r="N11" s="17"/>
      <c r="O11" s="17"/>
      <c r="P11" s="17"/>
      <c r="Q11" s="17"/>
      <c r="R11" s="17"/>
      <c r="S11" s="17"/>
      <c r="T11" s="17"/>
      <c r="U11" s="17"/>
      <c r="V11" s="17"/>
      <c r="W11" s="17"/>
      <c r="X11" s="17"/>
      <c r="Y11" s="17"/>
      <c r="Z11" s="17"/>
    </row>
    <row r="12" spans="1:26" ht="28.5" customHeight="1" x14ac:dyDescent="0.25">
      <c r="A12" s="30" t="s">
        <v>1175</v>
      </c>
      <c r="B12" s="26" t="s">
        <v>1176</v>
      </c>
      <c r="C12" s="30" t="s">
        <v>201</v>
      </c>
      <c r="D12" s="22">
        <v>8873</v>
      </c>
      <c r="E12" s="22">
        <v>9036</v>
      </c>
      <c r="F12" s="22">
        <f t="shared" si="0"/>
        <v>-163</v>
      </c>
      <c r="G12" s="22">
        <f t="shared" si="1"/>
        <v>-1.8038955289951304</v>
      </c>
      <c r="H12" s="16"/>
      <c r="I12" s="17"/>
      <c r="J12" s="17"/>
      <c r="K12" s="17"/>
      <c r="L12" s="17"/>
      <c r="M12" s="17"/>
      <c r="N12" s="17"/>
      <c r="O12" s="17"/>
      <c r="P12" s="17"/>
      <c r="Q12" s="17"/>
      <c r="R12" s="17"/>
      <c r="S12" s="17"/>
      <c r="T12" s="17"/>
      <c r="U12" s="17"/>
      <c r="V12" s="17"/>
      <c r="W12" s="17"/>
      <c r="X12" s="17"/>
      <c r="Y12" s="17"/>
      <c r="Z12" s="17"/>
    </row>
    <row r="13" spans="1:26" ht="28.5" customHeight="1" x14ac:dyDescent="0.25">
      <c r="A13" s="30" t="s">
        <v>1177</v>
      </c>
      <c r="B13" s="26"/>
      <c r="C13" s="31" t="s">
        <v>201</v>
      </c>
      <c r="D13" s="22">
        <v>56550</v>
      </c>
      <c r="E13" s="22">
        <v>59693</v>
      </c>
      <c r="F13" s="22">
        <f t="shared" si="0"/>
        <v>-3143</v>
      </c>
      <c r="G13" s="22">
        <f t="shared" si="1"/>
        <v>-5.2652739852243977</v>
      </c>
      <c r="H13" s="16"/>
      <c r="I13" s="17"/>
      <c r="J13" s="17"/>
      <c r="K13" s="17"/>
      <c r="L13" s="17"/>
      <c r="M13" s="17"/>
      <c r="N13" s="17"/>
      <c r="O13" s="17"/>
      <c r="P13" s="17"/>
      <c r="Q13" s="17"/>
      <c r="R13" s="17"/>
      <c r="S13" s="17"/>
      <c r="T13" s="17"/>
      <c r="U13" s="17"/>
      <c r="V13" s="17"/>
      <c r="W13" s="17"/>
      <c r="X13" s="17"/>
      <c r="Y13" s="17"/>
      <c r="Z13" s="17"/>
    </row>
    <row r="14" spans="1:26" ht="28.5" customHeight="1" x14ac:dyDescent="0.25">
      <c r="A14" s="24" t="s">
        <v>1178</v>
      </c>
      <c r="B14" s="24" t="s">
        <v>1179</v>
      </c>
      <c r="C14" s="24" t="s">
        <v>201</v>
      </c>
      <c r="D14" s="25">
        <v>18747</v>
      </c>
      <c r="E14" s="25">
        <v>21934</v>
      </c>
      <c r="F14" s="25">
        <f t="shared" si="0"/>
        <v>-3187</v>
      </c>
      <c r="G14" s="25">
        <f t="shared" si="1"/>
        <v>-14.529953496854198</v>
      </c>
      <c r="H14" s="16"/>
      <c r="I14" s="17"/>
      <c r="J14" s="17"/>
      <c r="K14" s="17"/>
      <c r="L14" s="17"/>
      <c r="M14" s="17"/>
      <c r="N14" s="17"/>
      <c r="O14" s="17"/>
      <c r="P14" s="17"/>
      <c r="Q14" s="17"/>
      <c r="R14" s="17"/>
      <c r="S14" s="17"/>
      <c r="T14" s="17"/>
      <c r="U14" s="17"/>
      <c r="V14" s="17"/>
      <c r="W14" s="17"/>
      <c r="X14" s="17"/>
      <c r="Y14" s="17"/>
      <c r="Z14" s="17"/>
    </row>
    <row r="15" spans="1:26" ht="28.5" customHeight="1" x14ac:dyDescent="0.25">
      <c r="A15" s="24" t="s">
        <v>1180</v>
      </c>
      <c r="B15" s="24" t="s">
        <v>1181</v>
      </c>
      <c r="C15" s="24" t="s">
        <v>201</v>
      </c>
      <c r="D15" s="25">
        <v>21211</v>
      </c>
      <c r="E15" s="25">
        <v>11237</v>
      </c>
      <c r="F15" s="25">
        <f t="shared" si="0"/>
        <v>9974</v>
      </c>
      <c r="G15" s="25">
        <f t="shared" si="1"/>
        <v>88.760345287888228</v>
      </c>
      <c r="H15" s="16"/>
      <c r="I15" s="17"/>
      <c r="J15" s="17"/>
      <c r="K15" s="17"/>
      <c r="L15" s="17"/>
      <c r="M15" s="17"/>
      <c r="N15" s="17"/>
      <c r="O15" s="17"/>
      <c r="P15" s="17"/>
      <c r="Q15" s="17"/>
      <c r="R15" s="17"/>
      <c r="S15" s="17"/>
      <c r="T15" s="17"/>
      <c r="U15" s="17"/>
      <c r="V15" s="17"/>
      <c r="W15" s="17"/>
      <c r="X15" s="17"/>
      <c r="Y15" s="17"/>
      <c r="Z15" s="17"/>
    </row>
    <row r="16" spans="1:26" ht="28.5" customHeight="1" x14ac:dyDescent="0.25">
      <c r="A16" s="195" t="s">
        <v>1182</v>
      </c>
      <c r="B16" s="195" t="s">
        <v>1181</v>
      </c>
      <c r="C16" s="32" t="s">
        <v>201</v>
      </c>
      <c r="D16" s="195">
        <v>1873</v>
      </c>
      <c r="E16" s="195">
        <v>50</v>
      </c>
      <c r="F16" s="25">
        <f t="shared" si="0"/>
        <v>1823</v>
      </c>
      <c r="G16" s="25">
        <f t="shared" si="1"/>
        <v>3646</v>
      </c>
      <c r="H16" s="196"/>
      <c r="I16" s="41"/>
      <c r="J16" s="41"/>
      <c r="K16" s="41"/>
      <c r="L16" s="41"/>
      <c r="M16" s="41"/>
      <c r="N16" s="41"/>
      <c r="O16" s="41"/>
      <c r="P16" s="41"/>
      <c r="Q16" s="41"/>
      <c r="R16" s="41"/>
      <c r="S16" s="41"/>
      <c r="T16" s="41"/>
      <c r="U16" s="41"/>
      <c r="V16" s="41"/>
      <c r="W16" s="41"/>
      <c r="X16" s="41"/>
      <c r="Y16" s="41"/>
      <c r="Z16" s="41"/>
    </row>
    <row r="17" spans="1:26" ht="28.5" customHeight="1" x14ac:dyDescent="0.25">
      <c r="A17" s="24" t="s">
        <v>1183</v>
      </c>
      <c r="B17" s="24"/>
      <c r="C17" s="32" t="s">
        <v>201</v>
      </c>
      <c r="D17" s="50">
        <v>41831</v>
      </c>
      <c r="E17" s="50">
        <v>33221</v>
      </c>
      <c r="F17" s="25">
        <f t="shared" si="0"/>
        <v>8610</v>
      </c>
      <c r="G17" s="25">
        <f t="shared" si="1"/>
        <v>25.917341440655008</v>
      </c>
      <c r="H17" s="16"/>
      <c r="I17" s="17"/>
      <c r="J17" s="17"/>
      <c r="K17" s="17"/>
      <c r="L17" s="17"/>
      <c r="M17" s="17"/>
      <c r="N17" s="17"/>
      <c r="O17" s="17"/>
      <c r="P17" s="17"/>
      <c r="Q17" s="17"/>
      <c r="R17" s="17"/>
      <c r="S17" s="17"/>
      <c r="T17" s="17"/>
      <c r="U17" s="17"/>
      <c r="V17" s="17"/>
      <c r="W17" s="17"/>
      <c r="X17" s="17"/>
      <c r="Y17" s="17"/>
      <c r="Z17" s="17"/>
    </row>
    <row r="18" spans="1:26" ht="28.5" customHeight="1" x14ac:dyDescent="0.25">
      <c r="A18" s="24" t="s">
        <v>1184</v>
      </c>
      <c r="B18" s="24"/>
      <c r="C18" s="32" t="s">
        <v>201</v>
      </c>
      <c r="D18" s="50">
        <v>4031</v>
      </c>
      <c r="E18" s="50">
        <v>4247</v>
      </c>
      <c r="F18" s="25">
        <f t="shared" si="0"/>
        <v>-216</v>
      </c>
      <c r="G18" s="25">
        <f t="shared" si="1"/>
        <v>-5.0859430186013661</v>
      </c>
      <c r="H18" s="16"/>
      <c r="I18" s="17"/>
      <c r="J18" s="17"/>
      <c r="K18" s="17"/>
      <c r="L18" s="17"/>
      <c r="M18" s="17"/>
      <c r="N18" s="17"/>
      <c r="O18" s="17"/>
      <c r="P18" s="17"/>
      <c r="Q18" s="17"/>
      <c r="R18" s="17"/>
      <c r="S18" s="17"/>
      <c r="T18" s="17"/>
      <c r="U18" s="17"/>
      <c r="V18" s="17"/>
      <c r="W18" s="17"/>
      <c r="X18" s="17"/>
      <c r="Y18" s="17"/>
      <c r="Z18" s="17"/>
    </row>
    <row r="19" spans="1:26" ht="28.5" customHeight="1" x14ac:dyDescent="0.25">
      <c r="A19" s="30" t="s">
        <v>1025</v>
      </c>
      <c r="B19" s="30"/>
      <c r="C19" s="31" t="s">
        <v>201</v>
      </c>
      <c r="D19" s="92">
        <v>102412</v>
      </c>
      <c r="E19" s="92">
        <v>97161</v>
      </c>
      <c r="F19" s="22">
        <f t="shared" si="0"/>
        <v>5251</v>
      </c>
      <c r="G19" s="22">
        <f t="shared" si="1"/>
        <v>5.4044318193513856</v>
      </c>
      <c r="H19" s="16"/>
      <c r="I19" s="17"/>
      <c r="J19" s="17"/>
      <c r="K19" s="17"/>
      <c r="L19" s="17"/>
      <c r="M19" s="17"/>
      <c r="N19" s="17"/>
      <c r="O19" s="17"/>
      <c r="P19" s="17"/>
      <c r="Q19" s="17"/>
      <c r="R19" s="17"/>
      <c r="S19" s="17"/>
      <c r="T19" s="17"/>
      <c r="U19" s="17"/>
      <c r="V19" s="17"/>
      <c r="W19" s="17"/>
      <c r="X19" s="17"/>
      <c r="Y19" s="17"/>
      <c r="Z19" s="17"/>
    </row>
    <row r="20" spans="1:26" ht="28.5" customHeight="1" x14ac:dyDescent="0.25">
      <c r="A20" s="24" t="s">
        <v>1185</v>
      </c>
      <c r="B20" s="24" t="s">
        <v>1179</v>
      </c>
      <c r="C20" s="24" t="s">
        <v>26</v>
      </c>
      <c r="D20" s="25">
        <v>5608</v>
      </c>
      <c r="E20" s="25">
        <v>5679</v>
      </c>
      <c r="F20" s="25">
        <f t="shared" si="0"/>
        <v>-71</v>
      </c>
      <c r="G20" s="25">
        <f t="shared" si="1"/>
        <v>-1.2502201091741505</v>
      </c>
      <c r="H20" s="16"/>
      <c r="I20" s="17"/>
      <c r="J20" s="17"/>
      <c r="K20" s="17"/>
      <c r="L20" s="17"/>
      <c r="M20" s="17"/>
      <c r="N20" s="17"/>
      <c r="O20" s="17"/>
      <c r="P20" s="17"/>
      <c r="Q20" s="17"/>
      <c r="R20" s="17"/>
      <c r="S20" s="17"/>
      <c r="T20" s="17"/>
      <c r="U20" s="17"/>
      <c r="V20" s="17"/>
      <c r="W20" s="17"/>
      <c r="X20" s="17"/>
      <c r="Y20" s="17"/>
      <c r="Z20" s="17"/>
    </row>
    <row r="21" spans="1:26" ht="28.5" customHeight="1" x14ac:dyDescent="0.25">
      <c r="A21" s="30" t="s">
        <v>1186</v>
      </c>
      <c r="B21" s="30"/>
      <c r="C21" s="30"/>
      <c r="D21" s="22">
        <v>108020</v>
      </c>
      <c r="E21" s="22">
        <v>102840</v>
      </c>
      <c r="F21" s="22">
        <f t="shared" si="0"/>
        <v>5180</v>
      </c>
      <c r="G21" s="22">
        <f t="shared" si="1"/>
        <v>5.0369506028782576</v>
      </c>
      <c r="H21" s="16"/>
      <c r="I21" s="17"/>
      <c r="J21" s="17"/>
      <c r="K21" s="17"/>
      <c r="L21" s="17"/>
      <c r="M21" s="17"/>
      <c r="N21" s="17"/>
      <c r="O21" s="17"/>
      <c r="P21" s="17"/>
      <c r="Q21" s="17"/>
      <c r="R21" s="17"/>
      <c r="S21" s="17"/>
      <c r="T21" s="17"/>
      <c r="U21" s="17"/>
      <c r="V21" s="17"/>
      <c r="W21" s="17"/>
      <c r="X21" s="17"/>
      <c r="Y21" s="17"/>
      <c r="Z21" s="17"/>
    </row>
    <row r="22" spans="1:26" ht="28.5" customHeight="1" x14ac:dyDescent="0.25">
      <c r="A22" s="24" t="s">
        <v>1187</v>
      </c>
      <c r="B22" s="24" t="s">
        <v>1188</v>
      </c>
      <c r="C22" s="24" t="s">
        <v>113</v>
      </c>
      <c r="D22" s="50">
        <v>9662</v>
      </c>
      <c r="E22" s="50">
        <v>10281</v>
      </c>
      <c r="F22" s="25">
        <f t="shared" si="0"/>
        <v>-619</v>
      </c>
      <c r="G22" s="25">
        <f t="shared" si="1"/>
        <v>-6.0208150958078006</v>
      </c>
      <c r="H22" s="16"/>
      <c r="I22" s="17"/>
      <c r="J22" s="17"/>
      <c r="K22" s="17"/>
      <c r="L22" s="17"/>
      <c r="M22" s="17"/>
      <c r="N22" s="17"/>
      <c r="O22" s="17"/>
      <c r="P22" s="17"/>
      <c r="Q22" s="17"/>
      <c r="R22" s="17"/>
      <c r="S22" s="17"/>
      <c r="T22" s="17"/>
      <c r="U22" s="17"/>
      <c r="V22" s="17"/>
      <c r="W22" s="17"/>
      <c r="X22" s="17"/>
      <c r="Y22" s="17"/>
      <c r="Z22" s="17"/>
    </row>
    <row r="23" spans="1:26" ht="28.5" customHeight="1" x14ac:dyDescent="0.25">
      <c r="A23" s="24" t="s">
        <v>1189</v>
      </c>
      <c r="B23" s="24" t="s">
        <v>1190</v>
      </c>
      <c r="C23" s="24" t="s">
        <v>113</v>
      </c>
      <c r="D23" s="50">
        <v>7203</v>
      </c>
      <c r="E23" s="50">
        <v>8119</v>
      </c>
      <c r="F23" s="25">
        <f t="shared" si="0"/>
        <v>-916</v>
      </c>
      <c r="G23" s="25">
        <f t="shared" si="1"/>
        <v>-11.282177608079813</v>
      </c>
      <c r="H23" s="16"/>
      <c r="I23" s="17"/>
      <c r="J23" s="17"/>
      <c r="K23" s="17"/>
      <c r="L23" s="17"/>
      <c r="M23" s="17"/>
      <c r="N23" s="17"/>
      <c r="O23" s="17"/>
      <c r="P23" s="17"/>
      <c r="Q23" s="17"/>
      <c r="R23" s="17"/>
      <c r="S23" s="17"/>
      <c r="T23" s="17"/>
      <c r="U23" s="17"/>
      <c r="V23" s="17"/>
      <c r="W23" s="17"/>
      <c r="X23" s="17"/>
      <c r="Y23" s="17"/>
      <c r="Z23" s="17"/>
    </row>
    <row r="24" spans="1:26" ht="28.5" customHeight="1" x14ac:dyDescent="0.25">
      <c r="A24" s="24" t="s">
        <v>1191</v>
      </c>
      <c r="B24" s="24" t="s">
        <v>1192</v>
      </c>
      <c r="C24" s="24" t="s">
        <v>113</v>
      </c>
      <c r="D24" s="50">
        <v>1462</v>
      </c>
      <c r="E24" s="50">
        <v>1525</v>
      </c>
      <c r="F24" s="25">
        <f t="shared" si="0"/>
        <v>-63</v>
      </c>
      <c r="G24" s="25">
        <f t="shared" si="1"/>
        <v>-4.1311475409836067</v>
      </c>
      <c r="H24" s="16"/>
      <c r="I24" s="17"/>
      <c r="J24" s="17"/>
      <c r="K24" s="17"/>
      <c r="L24" s="17"/>
      <c r="M24" s="17"/>
      <c r="N24" s="17"/>
      <c r="O24" s="17"/>
      <c r="P24" s="17"/>
      <c r="Q24" s="17"/>
      <c r="R24" s="17"/>
      <c r="S24" s="17"/>
      <c r="T24" s="17"/>
      <c r="U24" s="17"/>
      <c r="V24" s="17"/>
      <c r="W24" s="17"/>
      <c r="X24" s="17"/>
      <c r="Y24" s="17"/>
      <c r="Z24" s="17"/>
    </row>
    <row r="25" spans="1:26" ht="28.5" customHeight="1" x14ac:dyDescent="0.25">
      <c r="A25" s="24" t="s">
        <v>1193</v>
      </c>
      <c r="B25" s="24"/>
      <c r="C25" s="24"/>
      <c r="D25" s="50">
        <v>7704</v>
      </c>
      <c r="E25" s="50">
        <v>7275</v>
      </c>
      <c r="F25" s="25">
        <f t="shared" si="0"/>
        <v>429</v>
      </c>
      <c r="G25" s="25">
        <f t="shared" si="1"/>
        <v>5.8969072164948457</v>
      </c>
      <c r="H25" s="16"/>
      <c r="I25" s="17"/>
      <c r="J25" s="17"/>
      <c r="K25" s="17"/>
      <c r="L25" s="17"/>
      <c r="M25" s="17"/>
      <c r="N25" s="17"/>
      <c r="O25" s="17"/>
      <c r="P25" s="17"/>
      <c r="Q25" s="17"/>
      <c r="R25" s="17"/>
      <c r="S25" s="17"/>
      <c r="T25" s="17"/>
      <c r="U25" s="17"/>
      <c r="V25" s="17"/>
      <c r="W25" s="17"/>
      <c r="X25" s="17"/>
      <c r="Y25" s="17"/>
      <c r="Z25" s="17"/>
    </row>
    <row r="26" spans="1:26" ht="28.5" customHeight="1" x14ac:dyDescent="0.25">
      <c r="A26" s="24" t="s">
        <v>1194</v>
      </c>
      <c r="B26" s="24"/>
      <c r="C26" s="24"/>
      <c r="D26" s="50">
        <v>1560</v>
      </c>
      <c r="E26" s="50">
        <v>1625</v>
      </c>
      <c r="F26" s="25">
        <f t="shared" si="0"/>
        <v>-65</v>
      </c>
      <c r="G26" s="25">
        <f t="shared" si="1"/>
        <v>-4</v>
      </c>
      <c r="H26" s="16"/>
      <c r="I26" s="17"/>
      <c r="J26" s="17"/>
      <c r="K26" s="17"/>
      <c r="L26" s="17"/>
      <c r="M26" s="17"/>
      <c r="N26" s="17"/>
      <c r="O26" s="17"/>
      <c r="P26" s="17"/>
      <c r="Q26" s="17"/>
      <c r="R26" s="17"/>
      <c r="S26" s="17"/>
      <c r="T26" s="17"/>
      <c r="U26" s="17"/>
      <c r="V26" s="17"/>
      <c r="W26" s="17"/>
      <c r="X26" s="17"/>
      <c r="Y26" s="17"/>
      <c r="Z26" s="17"/>
    </row>
    <row r="27" spans="1:26" ht="28.5" customHeight="1" x14ac:dyDescent="0.25">
      <c r="A27" s="30" t="s">
        <v>1195</v>
      </c>
      <c r="B27" s="30"/>
      <c r="C27" s="30"/>
      <c r="D27" s="92">
        <v>18926</v>
      </c>
      <c r="E27" s="92">
        <v>19181</v>
      </c>
      <c r="F27" s="22">
        <f t="shared" si="0"/>
        <v>-255</v>
      </c>
      <c r="G27" s="22">
        <f t="shared" si="1"/>
        <v>-1.3294405922527501</v>
      </c>
      <c r="H27" s="16"/>
      <c r="I27" s="17"/>
      <c r="J27" s="17"/>
      <c r="K27" s="17"/>
      <c r="L27" s="17"/>
      <c r="M27" s="17"/>
      <c r="N27" s="17"/>
      <c r="O27" s="17"/>
      <c r="P27" s="17"/>
      <c r="Q27" s="17"/>
      <c r="R27" s="17"/>
      <c r="S27" s="17"/>
      <c r="T27" s="17"/>
      <c r="U27" s="17"/>
      <c r="V27" s="17"/>
      <c r="W27" s="17"/>
      <c r="X27" s="17"/>
      <c r="Y27" s="17"/>
      <c r="Z27" s="17"/>
    </row>
    <row r="28" spans="1:26" ht="28.5" customHeight="1" x14ac:dyDescent="0.25">
      <c r="A28" s="30" t="s">
        <v>38</v>
      </c>
      <c r="B28" s="30"/>
      <c r="C28" s="30"/>
      <c r="D28" s="22">
        <v>126946</v>
      </c>
      <c r="E28" s="22">
        <v>122021</v>
      </c>
      <c r="F28" s="22">
        <f t="shared" si="0"/>
        <v>4925</v>
      </c>
      <c r="G28" s="22">
        <f t="shared" si="1"/>
        <v>4.0361904918005918</v>
      </c>
      <c r="H28" s="16"/>
      <c r="I28" s="17"/>
      <c r="J28" s="54"/>
      <c r="K28" s="54"/>
      <c r="L28" s="54"/>
      <c r="M28" s="54"/>
      <c r="N28" s="54"/>
      <c r="O28" s="54"/>
      <c r="P28" s="54"/>
      <c r="Q28" s="54"/>
      <c r="R28" s="54"/>
      <c r="S28" s="54"/>
      <c r="T28" s="54"/>
      <c r="U28" s="54"/>
      <c r="V28" s="54"/>
      <c r="W28" s="54"/>
      <c r="X28" s="54"/>
      <c r="Y28" s="54"/>
      <c r="Z28" s="54"/>
    </row>
  </sheetData>
  <pageMargins left="0.7" right="0.7" top="0.75" bottom="0.75" header="0" footer="0"/>
  <pageSetup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2A5DB0"/>
  </sheetPr>
  <dimension ref="A1:Z15"/>
  <sheetViews>
    <sheetView workbookViewId="0">
      <pane ySplit="1" topLeftCell="A2" activePane="bottomLeft" state="frozen"/>
      <selection pane="bottomLeft"/>
    </sheetView>
  </sheetViews>
  <sheetFormatPr defaultColWidth="14.44140625" defaultRowHeight="15.75" customHeight="1" x14ac:dyDescent="0.25"/>
  <cols>
    <col min="1" max="1" width="29.109375" customWidth="1"/>
    <col min="2" max="3" width="29.33203125" customWidth="1"/>
    <col min="4" max="5" width="16" customWidth="1"/>
    <col min="6" max="7" width="15.88671875" customWidth="1"/>
    <col min="8" max="10" width="8.6640625" customWidth="1"/>
  </cols>
  <sheetData>
    <row r="1" spans="1:26" ht="34.5" customHeight="1" x14ac:dyDescent="0.3">
      <c r="A1" s="28" t="s">
        <v>1787</v>
      </c>
      <c r="B1" s="8" t="s">
        <v>10</v>
      </c>
      <c r="C1" s="8" t="s">
        <v>11</v>
      </c>
      <c r="D1" s="8" t="s">
        <v>1687</v>
      </c>
      <c r="E1" s="8" t="s">
        <v>1688</v>
      </c>
      <c r="F1" s="8" t="s">
        <v>1682</v>
      </c>
      <c r="G1" s="8" t="s">
        <v>1759</v>
      </c>
      <c r="H1" s="6"/>
      <c r="I1" s="197"/>
      <c r="J1" s="197"/>
      <c r="K1" s="6"/>
      <c r="L1" s="6"/>
      <c r="M1" s="6"/>
      <c r="N1" s="6"/>
      <c r="O1" s="6"/>
      <c r="P1" s="6"/>
      <c r="Q1" s="6"/>
      <c r="R1" s="6"/>
      <c r="S1" s="6"/>
      <c r="T1" s="6"/>
      <c r="U1" s="6"/>
      <c r="V1" s="6"/>
      <c r="W1" s="6"/>
      <c r="X1" s="6"/>
      <c r="Y1" s="6"/>
      <c r="Z1" s="6"/>
    </row>
    <row r="2" spans="1:26" ht="28.5" customHeight="1" x14ac:dyDescent="0.3">
      <c r="A2" s="24" t="s">
        <v>1788</v>
      </c>
      <c r="B2" s="24" t="s">
        <v>460</v>
      </c>
      <c r="C2" s="24" t="s">
        <v>49</v>
      </c>
      <c r="D2" s="96">
        <v>95.6</v>
      </c>
      <c r="E2" s="96">
        <v>87.2</v>
      </c>
      <c r="F2" s="96">
        <f t="shared" ref="F2:F13" si="0">D2-E2</f>
        <v>8.3999999999999915</v>
      </c>
      <c r="G2" s="96">
        <f t="shared" ref="G2:G13" si="1">(F2/E2)*100</f>
        <v>9.6330275229357696</v>
      </c>
      <c r="H2" s="87"/>
      <c r="I2" s="87"/>
      <c r="J2" s="87"/>
      <c r="K2" s="87"/>
      <c r="L2" s="87"/>
      <c r="M2" s="87"/>
      <c r="N2" s="87"/>
      <c r="O2" s="87"/>
      <c r="P2" s="87"/>
      <c r="Q2" s="87"/>
      <c r="R2" s="87"/>
      <c r="S2" s="87"/>
      <c r="T2" s="87"/>
      <c r="U2" s="87"/>
      <c r="V2" s="87"/>
      <c r="W2" s="87"/>
      <c r="X2" s="87"/>
      <c r="Y2" s="87"/>
      <c r="Z2" s="87"/>
    </row>
    <row r="3" spans="1:26" ht="28.5" customHeight="1" x14ac:dyDescent="0.3">
      <c r="A3" s="24" t="s">
        <v>1197</v>
      </c>
      <c r="B3" s="24" t="s">
        <v>1198</v>
      </c>
      <c r="C3" s="24" t="s">
        <v>201</v>
      </c>
      <c r="D3" s="96">
        <v>25.4</v>
      </c>
      <c r="E3" s="96">
        <v>26.2</v>
      </c>
      <c r="F3" s="96">
        <f t="shared" si="0"/>
        <v>-0.80000000000000071</v>
      </c>
      <c r="G3" s="96">
        <f t="shared" si="1"/>
        <v>-3.0534351145038197</v>
      </c>
      <c r="H3" s="87"/>
      <c r="I3" s="87"/>
      <c r="J3" s="87"/>
      <c r="K3" s="87"/>
      <c r="L3" s="87"/>
      <c r="M3" s="87"/>
      <c r="N3" s="87"/>
      <c r="O3" s="87"/>
      <c r="P3" s="87"/>
      <c r="Q3" s="87"/>
      <c r="R3" s="87"/>
      <c r="S3" s="87"/>
      <c r="T3" s="87"/>
      <c r="U3" s="87"/>
      <c r="V3" s="87"/>
      <c r="W3" s="87"/>
      <c r="X3" s="87"/>
      <c r="Y3" s="87"/>
      <c r="Z3" s="87"/>
    </row>
    <row r="4" spans="1:26" ht="28.5" customHeight="1" x14ac:dyDescent="0.3">
      <c r="A4" s="24" t="s">
        <v>1199</v>
      </c>
      <c r="B4" s="24" t="s">
        <v>200</v>
      </c>
      <c r="C4" s="24" t="s">
        <v>201</v>
      </c>
      <c r="D4" s="96">
        <v>20.900000000000002</v>
      </c>
      <c r="E4" s="96">
        <v>17.2</v>
      </c>
      <c r="F4" s="96">
        <f t="shared" si="0"/>
        <v>3.7000000000000028</v>
      </c>
      <c r="G4" s="96">
        <f t="shared" si="1"/>
        <v>21.511627906976763</v>
      </c>
      <c r="H4" s="87"/>
      <c r="I4" s="87"/>
      <c r="J4" s="87"/>
      <c r="K4" s="87"/>
      <c r="L4" s="87"/>
      <c r="M4" s="87"/>
      <c r="N4" s="87"/>
      <c r="O4" s="87"/>
      <c r="P4" s="87"/>
      <c r="Q4" s="87"/>
      <c r="R4" s="87"/>
      <c r="S4" s="87"/>
      <c r="T4" s="87"/>
      <c r="U4" s="87"/>
      <c r="V4" s="87"/>
      <c r="W4" s="87"/>
      <c r="X4" s="87"/>
      <c r="Y4" s="87"/>
      <c r="Z4" s="87"/>
    </row>
    <row r="5" spans="1:26" ht="28.5" customHeight="1" x14ac:dyDescent="0.3">
      <c r="A5" s="24" t="s">
        <v>1200</v>
      </c>
      <c r="B5" s="24" t="s">
        <v>462</v>
      </c>
      <c r="C5" s="24" t="s">
        <v>43</v>
      </c>
      <c r="D5" s="96">
        <v>21.4</v>
      </c>
      <c r="E5" s="96">
        <v>19.2</v>
      </c>
      <c r="F5" s="96">
        <f t="shared" si="0"/>
        <v>2.1999999999999993</v>
      </c>
      <c r="G5" s="96">
        <f t="shared" si="1"/>
        <v>11.45833333333333</v>
      </c>
      <c r="H5" s="198"/>
      <c r="I5" s="87"/>
      <c r="J5" s="87"/>
      <c r="K5" s="87"/>
      <c r="L5" s="87"/>
      <c r="M5" s="87"/>
      <c r="N5" s="87"/>
      <c r="O5" s="87"/>
      <c r="P5" s="87"/>
      <c r="Q5" s="87"/>
      <c r="R5" s="87"/>
      <c r="S5" s="87"/>
      <c r="T5" s="87"/>
      <c r="U5" s="87"/>
      <c r="V5" s="87"/>
      <c r="W5" s="87"/>
      <c r="X5" s="87"/>
      <c r="Y5" s="87"/>
      <c r="Z5" s="87"/>
    </row>
    <row r="6" spans="1:26" ht="28.5" customHeight="1" x14ac:dyDescent="0.3">
      <c r="A6" s="24" t="s">
        <v>1201</v>
      </c>
      <c r="B6" s="24" t="s">
        <v>1202</v>
      </c>
      <c r="C6" s="24" t="s">
        <v>62</v>
      </c>
      <c r="D6" s="96">
        <v>7.8</v>
      </c>
      <c r="E6" s="96">
        <v>8.6</v>
      </c>
      <c r="F6" s="96">
        <f t="shared" si="0"/>
        <v>-0.79999999999999982</v>
      </c>
      <c r="G6" s="96">
        <f t="shared" si="1"/>
        <v>-9.3023255813953476</v>
      </c>
      <c r="H6" s="87"/>
      <c r="I6" s="87"/>
      <c r="J6" s="87"/>
      <c r="K6" s="87"/>
      <c r="L6" s="87"/>
      <c r="M6" s="87"/>
      <c r="N6" s="87"/>
      <c r="O6" s="87"/>
      <c r="P6" s="87"/>
      <c r="Q6" s="87"/>
      <c r="R6" s="87"/>
      <c r="S6" s="87"/>
      <c r="T6" s="87"/>
      <c r="U6" s="87"/>
      <c r="V6" s="87"/>
      <c r="W6" s="87"/>
      <c r="X6" s="87"/>
      <c r="Y6" s="87"/>
      <c r="Z6" s="87"/>
    </row>
    <row r="7" spans="1:26" ht="28.5" customHeight="1" x14ac:dyDescent="0.3">
      <c r="A7" s="24" t="s">
        <v>1203</v>
      </c>
      <c r="B7" s="24" t="s">
        <v>133</v>
      </c>
      <c r="C7" s="24" t="s">
        <v>100</v>
      </c>
      <c r="D7" s="96">
        <v>7.9</v>
      </c>
      <c r="E7" s="96">
        <v>6.8</v>
      </c>
      <c r="F7" s="96">
        <f t="shared" si="0"/>
        <v>1.1000000000000005</v>
      </c>
      <c r="G7" s="96">
        <f t="shared" si="1"/>
        <v>16.176470588235304</v>
      </c>
      <c r="H7" s="87"/>
      <c r="I7" s="87"/>
      <c r="J7" s="87"/>
      <c r="K7" s="87"/>
      <c r="L7" s="87"/>
      <c r="M7" s="87"/>
      <c r="N7" s="87"/>
      <c r="O7" s="87"/>
      <c r="P7" s="87"/>
      <c r="Q7" s="87"/>
      <c r="R7" s="87"/>
      <c r="S7" s="87"/>
      <c r="T7" s="87"/>
      <c r="U7" s="87"/>
      <c r="V7" s="87"/>
      <c r="W7" s="87"/>
      <c r="X7" s="87"/>
      <c r="Y7" s="87"/>
      <c r="Z7" s="87"/>
    </row>
    <row r="8" spans="1:26" ht="28.5" customHeight="1" x14ac:dyDescent="0.3">
      <c r="A8" s="24" t="s">
        <v>140</v>
      </c>
      <c r="B8" s="24" t="s">
        <v>141</v>
      </c>
      <c r="C8" s="24" t="s">
        <v>49</v>
      </c>
      <c r="D8" s="96">
        <v>6.8000000000000007</v>
      </c>
      <c r="E8" s="96">
        <v>5.6</v>
      </c>
      <c r="F8" s="96">
        <f t="shared" si="0"/>
        <v>1.2000000000000011</v>
      </c>
      <c r="G8" s="96">
        <f t="shared" si="1"/>
        <v>21.428571428571448</v>
      </c>
      <c r="H8" s="87"/>
      <c r="I8" s="87"/>
      <c r="J8" s="87"/>
      <c r="K8" s="87"/>
      <c r="L8" s="87"/>
      <c r="M8" s="87"/>
      <c r="N8" s="87"/>
      <c r="O8" s="87"/>
      <c r="P8" s="87"/>
      <c r="Q8" s="87"/>
      <c r="R8" s="87"/>
      <c r="S8" s="87"/>
      <c r="T8" s="87"/>
      <c r="U8" s="87"/>
      <c r="V8" s="87"/>
      <c r="W8" s="87"/>
      <c r="X8" s="87"/>
      <c r="Y8" s="87"/>
      <c r="Z8" s="87"/>
    </row>
    <row r="9" spans="1:26" ht="28.5" customHeight="1" x14ac:dyDescent="0.3">
      <c r="A9" s="24" t="s">
        <v>1204</v>
      </c>
      <c r="B9" s="24" t="s">
        <v>1205</v>
      </c>
      <c r="C9" s="24" t="s">
        <v>129</v>
      </c>
      <c r="D9" s="96">
        <v>4.4000000000000004</v>
      </c>
      <c r="E9" s="96">
        <v>4.9000000000000004</v>
      </c>
      <c r="F9" s="96">
        <f t="shared" si="0"/>
        <v>-0.5</v>
      </c>
      <c r="G9" s="96">
        <f t="shared" si="1"/>
        <v>-10.204081632653059</v>
      </c>
      <c r="H9" s="87"/>
      <c r="I9" s="126"/>
      <c r="J9" s="87"/>
      <c r="K9" s="87"/>
      <c r="L9" s="87"/>
      <c r="M9" s="87"/>
      <c r="N9" s="87"/>
      <c r="O9" s="87"/>
      <c r="P9" s="87"/>
      <c r="Q9" s="87"/>
      <c r="R9" s="87"/>
      <c r="S9" s="87"/>
      <c r="T9" s="87"/>
      <c r="U9" s="87"/>
      <c r="V9" s="87"/>
      <c r="W9" s="87"/>
      <c r="X9" s="87"/>
      <c r="Y9" s="87"/>
      <c r="Z9" s="87"/>
    </row>
    <row r="10" spans="1:26" ht="28.5" customHeight="1" x14ac:dyDescent="0.3">
      <c r="A10" s="24" t="s">
        <v>1206</v>
      </c>
      <c r="B10" s="24" t="s">
        <v>1207</v>
      </c>
      <c r="C10" s="24" t="s">
        <v>129</v>
      </c>
      <c r="D10" s="96">
        <v>5.9</v>
      </c>
      <c r="E10" s="96">
        <v>8.8000000000000007</v>
      </c>
      <c r="F10" s="96">
        <f t="shared" si="0"/>
        <v>-2.9000000000000004</v>
      </c>
      <c r="G10" s="96">
        <f t="shared" si="1"/>
        <v>-32.95454545454546</v>
      </c>
      <c r="H10" s="87"/>
      <c r="I10" s="87"/>
      <c r="J10" s="87"/>
      <c r="K10" s="87"/>
      <c r="L10" s="87"/>
      <c r="M10" s="87"/>
      <c r="N10" s="87"/>
      <c r="O10" s="87"/>
      <c r="P10" s="87"/>
      <c r="Q10" s="87"/>
      <c r="R10" s="87"/>
      <c r="S10" s="87"/>
      <c r="T10" s="87"/>
      <c r="U10" s="87"/>
      <c r="V10" s="87"/>
      <c r="W10" s="87"/>
      <c r="X10" s="87"/>
      <c r="Y10" s="87"/>
      <c r="Z10" s="87"/>
    </row>
    <row r="11" spans="1:26" ht="28.5" customHeight="1" x14ac:dyDescent="0.3">
      <c r="A11" s="24" t="s">
        <v>1208</v>
      </c>
      <c r="B11" s="24" t="s">
        <v>978</v>
      </c>
      <c r="C11" s="24" t="s">
        <v>49</v>
      </c>
      <c r="D11" s="96">
        <v>5.8</v>
      </c>
      <c r="E11" s="96">
        <v>11.3</v>
      </c>
      <c r="F11" s="96">
        <f t="shared" si="0"/>
        <v>-5.5000000000000009</v>
      </c>
      <c r="G11" s="96">
        <f t="shared" si="1"/>
        <v>-48.67256637168142</v>
      </c>
      <c r="H11" s="87"/>
      <c r="I11" s="87"/>
      <c r="J11" s="87"/>
      <c r="K11" s="87"/>
      <c r="L11" s="87"/>
      <c r="M11" s="87"/>
      <c r="N11" s="87"/>
      <c r="O11" s="87"/>
      <c r="P11" s="87"/>
      <c r="Q11" s="87"/>
      <c r="R11" s="87"/>
      <c r="S11" s="87"/>
      <c r="T11" s="87"/>
      <c r="U11" s="87"/>
      <c r="V11" s="87"/>
      <c r="W11" s="87"/>
      <c r="X11" s="87"/>
      <c r="Y11" s="87"/>
      <c r="Z11" s="87"/>
    </row>
    <row r="12" spans="1:26" ht="28.5" customHeight="1" x14ac:dyDescent="0.3">
      <c r="A12" s="24" t="s">
        <v>1209</v>
      </c>
      <c r="B12" s="24" t="s">
        <v>1210</v>
      </c>
      <c r="C12" s="24" t="s">
        <v>221</v>
      </c>
      <c r="D12" s="96">
        <v>2.9</v>
      </c>
      <c r="E12" s="96">
        <v>3.8</v>
      </c>
      <c r="F12" s="96">
        <f t="shared" si="0"/>
        <v>-0.89999999999999991</v>
      </c>
      <c r="G12" s="96">
        <f t="shared" si="1"/>
        <v>-23.684210526315788</v>
      </c>
      <c r="H12" s="87"/>
      <c r="I12" s="87"/>
      <c r="J12" s="87"/>
      <c r="K12" s="87"/>
      <c r="L12" s="87"/>
      <c r="M12" s="87"/>
      <c r="N12" s="87"/>
      <c r="O12" s="87"/>
      <c r="P12" s="87"/>
      <c r="Q12" s="87"/>
      <c r="R12" s="87"/>
      <c r="S12" s="87"/>
      <c r="T12" s="87"/>
      <c r="U12" s="87"/>
      <c r="V12" s="87"/>
      <c r="W12" s="87"/>
      <c r="X12" s="87"/>
      <c r="Y12" s="87"/>
      <c r="Z12" s="87"/>
    </row>
    <row r="13" spans="1:26" ht="28.5" customHeight="1" x14ac:dyDescent="0.3">
      <c r="A13" s="24" t="s">
        <v>1211</v>
      </c>
      <c r="B13" s="24" t="s">
        <v>285</v>
      </c>
      <c r="C13" s="24" t="s">
        <v>126</v>
      </c>
      <c r="D13" s="96">
        <v>3.1999999999999997</v>
      </c>
      <c r="E13" s="96">
        <v>5.0999999999999996</v>
      </c>
      <c r="F13" s="96">
        <f t="shared" si="0"/>
        <v>-1.9</v>
      </c>
      <c r="G13" s="96">
        <f t="shared" si="1"/>
        <v>-37.254901960784316</v>
      </c>
      <c r="H13" s="87"/>
      <c r="I13" s="87"/>
      <c r="J13" s="87"/>
      <c r="K13" s="87"/>
      <c r="L13" s="87"/>
      <c r="M13" s="87"/>
      <c r="N13" s="87"/>
      <c r="O13" s="87"/>
      <c r="P13" s="87"/>
      <c r="Q13" s="87"/>
      <c r="R13" s="87"/>
      <c r="S13" s="87"/>
      <c r="T13" s="87"/>
      <c r="U13" s="87"/>
      <c r="V13" s="87"/>
      <c r="W13" s="87"/>
      <c r="X13" s="87"/>
      <c r="Y13" s="87"/>
      <c r="Z13" s="87"/>
    </row>
    <row r="14" spans="1:26" ht="28.5" customHeight="1" x14ac:dyDescent="0.3">
      <c r="A14" s="24" t="s">
        <v>1212</v>
      </c>
      <c r="B14" s="24"/>
      <c r="C14" s="24"/>
      <c r="D14" s="96">
        <v>1.4</v>
      </c>
      <c r="E14" s="199">
        <v>0</v>
      </c>
      <c r="F14" s="199">
        <v>0</v>
      </c>
      <c r="G14" s="199">
        <v>0</v>
      </c>
      <c r="H14" s="87"/>
      <c r="I14" s="87"/>
      <c r="J14" s="87"/>
      <c r="K14" s="87"/>
      <c r="L14" s="87"/>
      <c r="M14" s="87"/>
      <c r="N14" s="87"/>
      <c r="O14" s="87"/>
      <c r="P14" s="87"/>
      <c r="Q14" s="87"/>
      <c r="R14" s="87"/>
      <c r="S14" s="87"/>
      <c r="T14" s="87"/>
      <c r="U14" s="87"/>
      <c r="V14" s="87"/>
      <c r="W14" s="87"/>
      <c r="X14" s="87"/>
      <c r="Y14" s="87"/>
      <c r="Z14" s="87"/>
    </row>
    <row r="15" spans="1:26" ht="28.5" customHeight="1" x14ac:dyDescent="0.3">
      <c r="A15" s="30" t="s">
        <v>101</v>
      </c>
      <c r="B15" s="30"/>
      <c r="C15" s="30"/>
      <c r="D15" s="19">
        <v>302.05399999999997</v>
      </c>
      <c r="E15" s="19">
        <v>290.7</v>
      </c>
      <c r="F15" s="19">
        <f>D15-E15</f>
        <v>11.353999999999985</v>
      </c>
      <c r="G15" s="19">
        <f>(F15/E15)*100</f>
        <v>3.905744754041963</v>
      </c>
      <c r="H15" s="87"/>
      <c r="I15" s="87"/>
      <c r="J15" s="87"/>
      <c r="K15" s="87"/>
      <c r="L15" s="87"/>
      <c r="M15" s="87"/>
      <c r="N15" s="87"/>
      <c r="O15" s="87"/>
      <c r="P15" s="87"/>
      <c r="Q15" s="87"/>
      <c r="R15" s="87"/>
      <c r="S15" s="87"/>
      <c r="T15" s="87"/>
      <c r="U15" s="87"/>
      <c r="V15" s="87"/>
      <c r="W15" s="87"/>
      <c r="X15" s="87"/>
      <c r="Y15" s="87"/>
      <c r="Z15" s="87"/>
    </row>
  </sheetData>
  <pageMargins left="0.7" right="0.7" top="0.75" bottom="0.75" header="0" footer="0"/>
  <pageSetup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2A5DB0"/>
  </sheetPr>
  <dimension ref="A1:Z28"/>
  <sheetViews>
    <sheetView workbookViewId="0">
      <pane ySplit="1" topLeftCell="A2" activePane="bottomLeft" state="frozen"/>
      <selection pane="bottomLeft"/>
    </sheetView>
  </sheetViews>
  <sheetFormatPr defaultColWidth="14.44140625" defaultRowHeight="15.75" customHeight="1" x14ac:dyDescent="0.25"/>
  <cols>
    <col min="1" max="1" width="43.6640625" customWidth="1"/>
    <col min="2" max="2" width="24" customWidth="1"/>
    <col min="3" max="3" width="28.109375" customWidth="1"/>
    <col min="4" max="5" width="21.88671875" customWidth="1"/>
    <col min="6" max="7" width="15.6640625" customWidth="1"/>
    <col min="8" max="26" width="9.109375" customWidth="1"/>
  </cols>
  <sheetData>
    <row r="1" spans="1:26" ht="34.5" customHeight="1" x14ac:dyDescent="0.25">
      <c r="A1" s="59" t="s">
        <v>1789</v>
      </c>
      <c r="B1" s="47" t="s">
        <v>10</v>
      </c>
      <c r="C1" s="47" t="s">
        <v>11</v>
      </c>
      <c r="D1" s="9" t="s">
        <v>1687</v>
      </c>
      <c r="E1" s="48" t="s">
        <v>1688</v>
      </c>
      <c r="F1" s="48" t="s">
        <v>1682</v>
      </c>
      <c r="G1" s="48" t="s">
        <v>1683</v>
      </c>
      <c r="H1" s="18"/>
      <c r="I1" s="18"/>
      <c r="J1" s="18"/>
      <c r="K1" s="18"/>
      <c r="L1" s="18"/>
      <c r="M1" s="18"/>
      <c r="N1" s="18"/>
      <c r="O1" s="18"/>
      <c r="P1" s="18"/>
      <c r="Q1" s="18"/>
      <c r="R1" s="18"/>
      <c r="S1" s="18"/>
      <c r="T1" s="18"/>
      <c r="U1" s="18"/>
      <c r="V1" s="18"/>
      <c r="W1" s="18"/>
      <c r="X1" s="18"/>
      <c r="Y1" s="18"/>
      <c r="Z1" s="18"/>
    </row>
    <row r="2" spans="1:26" ht="28.5" customHeight="1" x14ac:dyDescent="0.25">
      <c r="A2" s="51" t="s">
        <v>1764</v>
      </c>
      <c r="B2" s="51" t="s">
        <v>1235</v>
      </c>
      <c r="C2" s="11" t="s">
        <v>62</v>
      </c>
      <c r="D2" s="51">
        <v>116</v>
      </c>
      <c r="E2" s="51">
        <v>101.8</v>
      </c>
      <c r="F2" s="51">
        <f t="shared" ref="F2:F28" si="0">D2-E2</f>
        <v>14.200000000000003</v>
      </c>
      <c r="G2" s="51">
        <f t="shared" ref="G2:G28" si="1">(F2/E2)*100</f>
        <v>13.948919449901773</v>
      </c>
      <c r="H2" s="18"/>
      <c r="I2" s="18"/>
      <c r="J2" s="18"/>
      <c r="K2" s="18"/>
      <c r="L2" s="18"/>
      <c r="M2" s="18"/>
      <c r="N2" s="18"/>
      <c r="O2" s="18"/>
      <c r="P2" s="18"/>
      <c r="Q2" s="18"/>
      <c r="R2" s="18"/>
      <c r="S2" s="18"/>
      <c r="T2" s="18"/>
      <c r="U2" s="18"/>
      <c r="V2" s="18"/>
      <c r="W2" s="18"/>
      <c r="X2" s="18"/>
      <c r="Y2" s="18"/>
      <c r="Z2" s="18"/>
    </row>
    <row r="3" spans="1:26" ht="28.5" customHeight="1" x14ac:dyDescent="0.25">
      <c r="A3" s="51" t="s">
        <v>1214</v>
      </c>
      <c r="B3" s="51" t="s">
        <v>946</v>
      </c>
      <c r="C3" s="11" t="s">
        <v>62</v>
      </c>
      <c r="D3" s="51">
        <v>104.7</v>
      </c>
      <c r="E3" s="51">
        <v>89.9</v>
      </c>
      <c r="F3" s="51">
        <f t="shared" si="0"/>
        <v>14.799999999999997</v>
      </c>
      <c r="G3" s="51">
        <f t="shared" si="1"/>
        <v>16.462736373748605</v>
      </c>
      <c r="H3" s="18"/>
      <c r="I3" s="18"/>
      <c r="J3" s="18"/>
      <c r="K3" s="18"/>
      <c r="L3" s="18"/>
      <c r="M3" s="18"/>
      <c r="N3" s="18"/>
      <c r="O3" s="18"/>
      <c r="P3" s="18"/>
      <c r="Q3" s="18"/>
      <c r="R3" s="18"/>
      <c r="S3" s="18"/>
      <c r="T3" s="18"/>
      <c r="U3" s="18"/>
      <c r="V3" s="18"/>
      <c r="W3" s="18"/>
      <c r="X3" s="18"/>
      <c r="Y3" s="18"/>
      <c r="Z3" s="18"/>
    </row>
    <row r="4" spans="1:26" ht="28.5" customHeight="1" x14ac:dyDescent="0.25">
      <c r="A4" s="51" t="s">
        <v>1215</v>
      </c>
      <c r="B4" s="51" t="s">
        <v>1216</v>
      </c>
      <c r="C4" s="51" t="s">
        <v>129</v>
      </c>
      <c r="D4" s="51">
        <v>88.3</v>
      </c>
      <c r="E4" s="51">
        <v>91.7</v>
      </c>
      <c r="F4" s="51">
        <f t="shared" si="0"/>
        <v>-3.4000000000000057</v>
      </c>
      <c r="G4" s="51">
        <f t="shared" si="1"/>
        <v>-3.7077426390403554</v>
      </c>
      <c r="H4" s="18"/>
      <c r="I4" s="18"/>
      <c r="J4" s="18"/>
      <c r="K4" s="18"/>
      <c r="L4" s="18"/>
      <c r="M4" s="18"/>
      <c r="N4" s="18"/>
      <c r="O4" s="18"/>
      <c r="P4" s="18"/>
      <c r="Q4" s="18"/>
      <c r="R4" s="18"/>
      <c r="S4" s="18"/>
      <c r="T4" s="18"/>
      <c r="U4" s="18"/>
      <c r="V4" s="18"/>
      <c r="W4" s="18"/>
      <c r="X4" s="18"/>
      <c r="Y4" s="18"/>
      <c r="Z4" s="18"/>
    </row>
    <row r="5" spans="1:26" ht="28.5" customHeight="1" x14ac:dyDescent="0.25">
      <c r="A5" s="51" t="s">
        <v>1217</v>
      </c>
      <c r="B5" s="51" t="s">
        <v>1216</v>
      </c>
      <c r="C5" s="51" t="s">
        <v>129</v>
      </c>
      <c r="D5" s="51">
        <v>80</v>
      </c>
      <c r="E5" s="51">
        <v>57.3</v>
      </c>
      <c r="F5" s="51">
        <f t="shared" si="0"/>
        <v>22.700000000000003</v>
      </c>
      <c r="G5" s="51">
        <f t="shared" si="1"/>
        <v>39.616055846422341</v>
      </c>
      <c r="H5" s="18"/>
      <c r="I5" s="18"/>
      <c r="J5" s="18"/>
      <c r="K5" s="18"/>
      <c r="L5" s="18"/>
      <c r="M5" s="18"/>
      <c r="N5" s="18"/>
      <c r="O5" s="18"/>
      <c r="P5" s="18"/>
      <c r="Q5" s="18"/>
      <c r="R5" s="18"/>
      <c r="S5" s="18"/>
      <c r="T5" s="18"/>
      <c r="U5" s="18"/>
      <c r="V5" s="18"/>
      <c r="W5" s="18"/>
      <c r="X5" s="18"/>
      <c r="Y5" s="18"/>
      <c r="Z5" s="18"/>
    </row>
    <row r="6" spans="1:26" ht="28.5" customHeight="1" x14ac:dyDescent="0.25">
      <c r="A6" s="51" t="s">
        <v>1218</v>
      </c>
      <c r="B6" s="51" t="s">
        <v>1219</v>
      </c>
      <c r="C6" s="51" t="s">
        <v>49</v>
      </c>
      <c r="D6" s="51">
        <v>40.700000000000003</v>
      </c>
      <c r="E6" s="51">
        <v>34.5</v>
      </c>
      <c r="F6" s="51">
        <f t="shared" si="0"/>
        <v>6.2000000000000028</v>
      </c>
      <c r="G6" s="51">
        <f t="shared" si="1"/>
        <v>17.971014492753632</v>
      </c>
      <c r="H6" s="18"/>
      <c r="I6" s="18"/>
      <c r="J6" s="18"/>
      <c r="K6" s="18"/>
      <c r="L6" s="18"/>
      <c r="M6" s="18"/>
      <c r="N6" s="18"/>
      <c r="O6" s="18"/>
      <c r="P6" s="18"/>
      <c r="Q6" s="18"/>
      <c r="R6" s="18"/>
      <c r="S6" s="18"/>
      <c r="T6" s="18"/>
      <c r="U6" s="18"/>
      <c r="V6" s="18"/>
      <c r="W6" s="18"/>
      <c r="X6" s="18"/>
      <c r="Y6" s="18"/>
      <c r="Z6" s="18"/>
    </row>
    <row r="7" spans="1:26" ht="28.5" customHeight="1" x14ac:dyDescent="0.25">
      <c r="A7" s="19" t="s">
        <v>1220</v>
      </c>
      <c r="B7" s="19"/>
      <c r="C7" s="26"/>
      <c r="D7" s="19">
        <v>429.8</v>
      </c>
      <c r="E7" s="19">
        <v>375.1</v>
      </c>
      <c r="F7" s="19">
        <f t="shared" si="0"/>
        <v>54.699999999999989</v>
      </c>
      <c r="G7" s="19">
        <f t="shared" si="1"/>
        <v>14.582777925886425</v>
      </c>
      <c r="H7" s="18"/>
      <c r="I7" s="18"/>
      <c r="J7" s="18"/>
      <c r="K7" s="18"/>
      <c r="L7" s="18"/>
      <c r="M7" s="18"/>
      <c r="N7" s="18"/>
      <c r="O7" s="18"/>
      <c r="P7" s="18"/>
      <c r="Q7" s="18"/>
      <c r="R7" s="18"/>
      <c r="S7" s="18"/>
      <c r="T7" s="18"/>
      <c r="U7" s="18"/>
      <c r="V7" s="18"/>
      <c r="W7" s="18"/>
      <c r="X7" s="18"/>
      <c r="Y7" s="18"/>
      <c r="Z7" s="18"/>
    </row>
    <row r="8" spans="1:26" ht="28.5" customHeight="1" x14ac:dyDescent="0.25">
      <c r="A8" s="51" t="s">
        <v>1221</v>
      </c>
      <c r="B8" s="51" t="s">
        <v>1222</v>
      </c>
      <c r="C8" s="11" t="s">
        <v>62</v>
      </c>
      <c r="D8" s="51">
        <v>42.8</v>
      </c>
      <c r="E8" s="51">
        <v>46.8</v>
      </c>
      <c r="F8" s="51">
        <f t="shared" si="0"/>
        <v>-4</v>
      </c>
      <c r="G8" s="51">
        <f t="shared" si="1"/>
        <v>-8.5470085470085468</v>
      </c>
      <c r="H8" s="18"/>
      <c r="I8" s="18"/>
      <c r="J8" s="18"/>
      <c r="K8" s="18"/>
      <c r="L8" s="18"/>
      <c r="M8" s="18"/>
      <c r="N8" s="18"/>
      <c r="O8" s="18"/>
      <c r="P8" s="18"/>
      <c r="Q8" s="18"/>
      <c r="R8" s="18"/>
      <c r="S8" s="18"/>
      <c r="T8" s="18"/>
      <c r="U8" s="18"/>
      <c r="V8" s="18"/>
      <c r="W8" s="18"/>
      <c r="X8" s="18"/>
      <c r="Y8" s="18"/>
      <c r="Z8" s="18"/>
    </row>
    <row r="9" spans="1:26" ht="28.5" customHeight="1" x14ac:dyDescent="0.25">
      <c r="A9" s="51" t="s">
        <v>1223</v>
      </c>
      <c r="B9" s="51" t="s">
        <v>1224</v>
      </c>
      <c r="C9" s="11" t="s">
        <v>62</v>
      </c>
      <c r="D9" s="51">
        <v>13</v>
      </c>
      <c r="E9" s="51">
        <v>13.4</v>
      </c>
      <c r="F9" s="51">
        <f t="shared" si="0"/>
        <v>-0.40000000000000036</v>
      </c>
      <c r="G9" s="51">
        <f t="shared" si="1"/>
        <v>-2.9850746268656745</v>
      </c>
      <c r="H9" s="18"/>
      <c r="I9" s="18"/>
      <c r="J9" s="18"/>
      <c r="K9" s="18"/>
      <c r="L9" s="18"/>
      <c r="M9" s="18"/>
      <c r="N9" s="18"/>
      <c r="O9" s="18"/>
      <c r="P9" s="18"/>
      <c r="Q9" s="18"/>
      <c r="R9" s="18"/>
      <c r="S9" s="18"/>
      <c r="T9" s="18"/>
      <c r="U9" s="18"/>
      <c r="V9" s="18"/>
      <c r="W9" s="18"/>
      <c r="X9" s="18"/>
      <c r="Y9" s="18"/>
      <c r="Z9" s="18"/>
    </row>
    <row r="10" spans="1:26" ht="28.5" customHeight="1" x14ac:dyDescent="0.25">
      <c r="A10" s="51" t="s">
        <v>469</v>
      </c>
      <c r="B10" s="51" t="s">
        <v>470</v>
      </c>
      <c r="C10" s="51" t="s">
        <v>49</v>
      </c>
      <c r="D10" s="51">
        <v>30.8</v>
      </c>
      <c r="E10" s="51">
        <v>29</v>
      </c>
      <c r="F10" s="51">
        <f t="shared" si="0"/>
        <v>1.8000000000000007</v>
      </c>
      <c r="G10" s="51">
        <f t="shared" si="1"/>
        <v>6.2068965517241406</v>
      </c>
      <c r="H10" s="18"/>
      <c r="I10" s="18"/>
      <c r="J10" s="18"/>
      <c r="K10" s="18"/>
      <c r="L10" s="18"/>
      <c r="M10" s="18"/>
      <c r="N10" s="18"/>
      <c r="O10" s="18"/>
      <c r="P10" s="18"/>
      <c r="Q10" s="18"/>
      <c r="R10" s="18"/>
      <c r="S10" s="18"/>
      <c r="T10" s="18"/>
      <c r="U10" s="18"/>
      <c r="V10" s="18"/>
      <c r="W10" s="18"/>
      <c r="X10" s="18"/>
      <c r="Y10" s="18"/>
      <c r="Z10" s="18"/>
    </row>
    <row r="11" spans="1:26" ht="28.5" customHeight="1" x14ac:dyDescent="0.25">
      <c r="A11" s="51" t="s">
        <v>1225</v>
      </c>
      <c r="B11" s="51" t="s">
        <v>1226</v>
      </c>
      <c r="C11" s="25" t="s">
        <v>1227</v>
      </c>
      <c r="D11" s="51">
        <v>15.8</v>
      </c>
      <c r="E11" s="51">
        <v>15.5</v>
      </c>
      <c r="F11" s="51">
        <f t="shared" si="0"/>
        <v>0.30000000000000071</v>
      </c>
      <c r="G11" s="51">
        <f t="shared" si="1"/>
        <v>1.9354838709677464</v>
      </c>
      <c r="H11" s="18"/>
      <c r="I11" s="18"/>
      <c r="J11" s="18"/>
      <c r="K11" s="18"/>
      <c r="L11" s="18"/>
      <c r="M11" s="18"/>
      <c r="N11" s="18"/>
      <c r="O11" s="18"/>
      <c r="P11" s="18"/>
      <c r="Q11" s="18"/>
      <c r="R11" s="18"/>
      <c r="S11" s="18"/>
      <c r="T11" s="18"/>
      <c r="U11" s="18"/>
      <c r="V11" s="18"/>
      <c r="W11" s="18"/>
      <c r="X11" s="18"/>
      <c r="Y11" s="18"/>
      <c r="Z11" s="18"/>
    </row>
    <row r="12" spans="1:26" ht="28.5" customHeight="1" x14ac:dyDescent="0.25">
      <c r="A12" s="51" t="s">
        <v>1228</v>
      </c>
      <c r="B12" s="51" t="s">
        <v>1229</v>
      </c>
      <c r="C12" s="51" t="s">
        <v>72</v>
      </c>
      <c r="D12" s="51">
        <v>5.2</v>
      </c>
      <c r="E12" s="51">
        <v>5.3</v>
      </c>
      <c r="F12" s="51">
        <f t="shared" si="0"/>
        <v>-9.9999999999999645E-2</v>
      </c>
      <c r="G12" s="51">
        <f t="shared" si="1"/>
        <v>-1.886792452830182</v>
      </c>
      <c r="H12" s="18"/>
      <c r="I12" s="18"/>
      <c r="J12" s="18"/>
      <c r="K12" s="18"/>
      <c r="L12" s="18"/>
      <c r="M12" s="18"/>
      <c r="N12" s="18"/>
      <c r="O12" s="18"/>
      <c r="P12" s="18"/>
      <c r="Q12" s="18"/>
      <c r="R12" s="18"/>
      <c r="S12" s="18"/>
      <c r="T12" s="18"/>
      <c r="U12" s="18"/>
      <c r="V12" s="18"/>
      <c r="W12" s="18"/>
      <c r="X12" s="18"/>
      <c r="Y12" s="18"/>
      <c r="Z12" s="18"/>
    </row>
    <row r="13" spans="1:26" ht="28.5" customHeight="1" x14ac:dyDescent="0.25">
      <c r="A13" s="51" t="s">
        <v>1230</v>
      </c>
      <c r="B13" s="51" t="s">
        <v>1231</v>
      </c>
      <c r="C13" s="51" t="s">
        <v>43</v>
      </c>
      <c r="D13" s="51">
        <v>10</v>
      </c>
      <c r="E13" s="51">
        <v>12.2</v>
      </c>
      <c r="F13" s="51">
        <f t="shared" si="0"/>
        <v>-2.1999999999999993</v>
      </c>
      <c r="G13" s="51">
        <f t="shared" si="1"/>
        <v>-18.032786885245898</v>
      </c>
      <c r="H13" s="18"/>
      <c r="I13" s="18"/>
      <c r="J13" s="18"/>
      <c r="K13" s="18"/>
      <c r="L13" s="18"/>
      <c r="M13" s="18"/>
      <c r="N13" s="18"/>
      <c r="O13" s="18"/>
      <c r="P13" s="18"/>
      <c r="Q13" s="18"/>
      <c r="R13" s="18"/>
      <c r="S13" s="18"/>
      <c r="T13" s="18"/>
      <c r="U13" s="18"/>
      <c r="V13" s="18"/>
      <c r="W13" s="18"/>
      <c r="X13" s="18"/>
      <c r="Y13" s="18"/>
      <c r="Z13" s="18"/>
    </row>
    <row r="14" spans="1:26" ht="28.5" customHeight="1" x14ac:dyDescent="0.25">
      <c r="A14" s="51" t="s">
        <v>1232</v>
      </c>
      <c r="B14" s="51" t="s">
        <v>1233</v>
      </c>
      <c r="C14" s="11" t="s">
        <v>62</v>
      </c>
      <c r="D14" s="51">
        <v>23.8</v>
      </c>
      <c r="E14" s="51">
        <v>26.4</v>
      </c>
      <c r="F14" s="51">
        <f t="shared" si="0"/>
        <v>-2.5999999999999979</v>
      </c>
      <c r="G14" s="51">
        <f t="shared" si="1"/>
        <v>-9.8484848484848406</v>
      </c>
      <c r="H14" s="18"/>
      <c r="I14" s="18"/>
      <c r="J14" s="18"/>
      <c r="K14" s="18"/>
      <c r="L14" s="18"/>
      <c r="M14" s="18"/>
      <c r="N14" s="18"/>
      <c r="O14" s="18"/>
      <c r="P14" s="18"/>
      <c r="Q14" s="18"/>
      <c r="R14" s="18"/>
      <c r="S14" s="18"/>
      <c r="T14" s="18"/>
      <c r="U14" s="18"/>
      <c r="V14" s="18"/>
      <c r="W14" s="18"/>
      <c r="X14" s="18"/>
      <c r="Y14" s="18"/>
      <c r="Z14" s="18"/>
    </row>
    <row r="15" spans="1:26" ht="28.5" customHeight="1" x14ac:dyDescent="0.25">
      <c r="A15" s="51" t="s">
        <v>1234</v>
      </c>
      <c r="B15" s="51" t="s">
        <v>1235</v>
      </c>
      <c r="C15" s="11" t="s">
        <v>62</v>
      </c>
      <c r="D15" s="51">
        <v>34.6</v>
      </c>
      <c r="E15" s="51">
        <v>37.5</v>
      </c>
      <c r="F15" s="51">
        <f t="shared" si="0"/>
        <v>-2.8999999999999986</v>
      </c>
      <c r="G15" s="51">
        <f t="shared" si="1"/>
        <v>-7.7333333333333298</v>
      </c>
      <c r="H15" s="18"/>
      <c r="I15" s="18"/>
      <c r="J15" s="18"/>
      <c r="K15" s="18"/>
      <c r="L15" s="18"/>
      <c r="M15" s="18"/>
      <c r="N15" s="18"/>
      <c r="O15" s="18"/>
      <c r="P15" s="18"/>
      <c r="Q15" s="18"/>
      <c r="R15" s="18"/>
      <c r="S15" s="18"/>
      <c r="T15" s="18"/>
      <c r="U15" s="18"/>
      <c r="V15" s="18"/>
      <c r="W15" s="18"/>
      <c r="X15" s="18"/>
      <c r="Y15" s="18"/>
      <c r="Z15" s="18"/>
    </row>
    <row r="16" spans="1:26" ht="28.5" customHeight="1" x14ac:dyDescent="0.25">
      <c r="A16" s="51" t="s">
        <v>1236</v>
      </c>
      <c r="B16" s="51" t="s">
        <v>1237</v>
      </c>
      <c r="C16" s="51" t="s">
        <v>129</v>
      </c>
      <c r="D16" s="51">
        <v>9.8000000000000007</v>
      </c>
      <c r="E16" s="51">
        <v>11.6</v>
      </c>
      <c r="F16" s="51">
        <f t="shared" si="0"/>
        <v>-1.7999999999999989</v>
      </c>
      <c r="G16" s="51">
        <f t="shared" si="1"/>
        <v>-15.517241379310336</v>
      </c>
      <c r="H16" s="18"/>
      <c r="I16" s="18"/>
      <c r="J16" s="18"/>
      <c r="K16" s="18"/>
      <c r="L16" s="18"/>
      <c r="M16" s="18"/>
      <c r="N16" s="18"/>
      <c r="O16" s="18"/>
      <c r="P16" s="18"/>
      <c r="Q16" s="18"/>
      <c r="R16" s="18"/>
      <c r="S16" s="18"/>
      <c r="T16" s="18"/>
      <c r="U16" s="18"/>
      <c r="V16" s="18"/>
      <c r="W16" s="18"/>
      <c r="X16" s="18"/>
      <c r="Y16" s="18"/>
      <c r="Z16" s="18"/>
    </row>
    <row r="17" spans="1:26" ht="28.5" customHeight="1" x14ac:dyDescent="0.25">
      <c r="A17" s="51" t="s">
        <v>1238</v>
      </c>
      <c r="B17" s="51" t="s">
        <v>1229</v>
      </c>
      <c r="C17" s="11" t="s">
        <v>97</v>
      </c>
      <c r="D17" s="51">
        <v>7.6</v>
      </c>
      <c r="E17" s="51">
        <v>8.6</v>
      </c>
      <c r="F17" s="51">
        <f t="shared" si="0"/>
        <v>-1</v>
      </c>
      <c r="G17" s="51">
        <f t="shared" si="1"/>
        <v>-11.627906976744185</v>
      </c>
      <c r="H17" s="18"/>
      <c r="I17" s="18"/>
      <c r="J17" s="18"/>
      <c r="K17" s="18"/>
      <c r="L17" s="18"/>
      <c r="M17" s="18"/>
      <c r="N17" s="18"/>
      <c r="O17" s="18"/>
      <c r="P17" s="18"/>
      <c r="Q17" s="18"/>
      <c r="R17" s="18"/>
      <c r="S17" s="18"/>
      <c r="T17" s="18"/>
      <c r="U17" s="18"/>
      <c r="V17" s="18"/>
      <c r="W17" s="18"/>
      <c r="X17" s="18"/>
      <c r="Y17" s="18"/>
      <c r="Z17" s="18"/>
    </row>
    <row r="18" spans="1:26" ht="28.5" customHeight="1" x14ac:dyDescent="0.25">
      <c r="A18" s="51" t="s">
        <v>1239</v>
      </c>
      <c r="B18" s="51" t="s">
        <v>1240</v>
      </c>
      <c r="C18" s="51" t="s">
        <v>49</v>
      </c>
      <c r="D18" s="51">
        <v>7.2</v>
      </c>
      <c r="E18" s="51">
        <v>9.4</v>
      </c>
      <c r="F18" s="51">
        <f t="shared" si="0"/>
        <v>-2.2000000000000002</v>
      </c>
      <c r="G18" s="51">
        <f t="shared" si="1"/>
        <v>-23.404255319148938</v>
      </c>
      <c r="H18" s="18"/>
      <c r="I18" s="18"/>
      <c r="J18" s="18"/>
      <c r="K18" s="18"/>
      <c r="L18" s="18"/>
      <c r="M18" s="18"/>
      <c r="N18" s="18"/>
      <c r="O18" s="18"/>
      <c r="P18" s="18"/>
      <c r="Q18" s="18"/>
      <c r="R18" s="18"/>
      <c r="S18" s="18"/>
      <c r="T18" s="18"/>
      <c r="U18" s="18"/>
      <c r="V18" s="18"/>
      <c r="W18" s="18"/>
      <c r="X18" s="18"/>
      <c r="Y18" s="18"/>
      <c r="Z18" s="18"/>
    </row>
    <row r="19" spans="1:26" ht="28.5" customHeight="1" x14ac:dyDescent="0.25">
      <c r="A19" s="51" t="s">
        <v>465</v>
      </c>
      <c r="B19" s="51" t="s">
        <v>466</v>
      </c>
      <c r="C19" s="51" t="s">
        <v>49</v>
      </c>
      <c r="D19" s="51">
        <v>31.4</v>
      </c>
      <c r="E19" s="51">
        <v>31</v>
      </c>
      <c r="F19" s="51">
        <f t="shared" si="0"/>
        <v>0.39999999999999858</v>
      </c>
      <c r="G19" s="51">
        <f t="shared" si="1"/>
        <v>1.2903225806451568</v>
      </c>
      <c r="H19" s="18"/>
      <c r="I19" s="18"/>
      <c r="J19" s="18"/>
      <c r="K19" s="18"/>
      <c r="L19" s="18"/>
      <c r="M19" s="18"/>
      <c r="N19" s="18"/>
      <c r="O19" s="18"/>
      <c r="P19" s="18"/>
      <c r="Q19" s="18"/>
      <c r="R19" s="18"/>
      <c r="S19" s="18"/>
      <c r="T19" s="18"/>
      <c r="U19" s="18"/>
      <c r="V19" s="18"/>
      <c r="W19" s="18"/>
      <c r="X19" s="18"/>
      <c r="Y19" s="18"/>
      <c r="Z19" s="18"/>
    </row>
    <row r="20" spans="1:26" ht="28.5" customHeight="1" x14ac:dyDescent="0.25">
      <c r="A20" s="51" t="s">
        <v>30</v>
      </c>
      <c r="B20" s="51"/>
      <c r="C20" s="36" t="s">
        <v>30</v>
      </c>
      <c r="D20" s="51">
        <v>10.3</v>
      </c>
      <c r="E20" s="51">
        <v>14.5</v>
      </c>
      <c r="F20" s="51">
        <f t="shared" si="0"/>
        <v>-4.1999999999999993</v>
      </c>
      <c r="G20" s="51">
        <f t="shared" si="1"/>
        <v>-28.965517241379306</v>
      </c>
      <c r="H20" s="18"/>
      <c r="I20" s="18"/>
      <c r="J20" s="18"/>
      <c r="K20" s="18"/>
      <c r="L20" s="18"/>
      <c r="M20" s="18"/>
      <c r="N20" s="18"/>
      <c r="O20" s="18"/>
      <c r="P20" s="18"/>
      <c r="Q20" s="18"/>
      <c r="R20" s="18"/>
      <c r="S20" s="18"/>
      <c r="T20" s="18"/>
      <c r="U20" s="18"/>
      <c r="V20" s="18"/>
      <c r="W20" s="18"/>
      <c r="X20" s="18"/>
      <c r="Y20" s="18"/>
      <c r="Z20" s="18"/>
    </row>
    <row r="21" spans="1:26" ht="28.5" customHeight="1" x14ac:dyDescent="0.25">
      <c r="A21" s="51" t="s">
        <v>1241</v>
      </c>
      <c r="B21" s="51"/>
      <c r="C21" s="51"/>
      <c r="D21" s="51">
        <v>107.4</v>
      </c>
      <c r="E21" s="51">
        <v>113.4</v>
      </c>
      <c r="F21" s="51">
        <f t="shared" si="0"/>
        <v>-6</v>
      </c>
      <c r="G21" s="51">
        <f t="shared" si="1"/>
        <v>-5.2910052910052912</v>
      </c>
      <c r="H21" s="18"/>
      <c r="I21" s="18"/>
      <c r="J21" s="18"/>
      <c r="K21" s="18"/>
      <c r="L21" s="18"/>
      <c r="M21" s="18"/>
      <c r="N21" s="18"/>
      <c r="O21" s="18"/>
      <c r="P21" s="18"/>
      <c r="Q21" s="18"/>
      <c r="R21" s="18"/>
      <c r="S21" s="18"/>
      <c r="T21" s="18"/>
      <c r="U21" s="18"/>
      <c r="V21" s="18"/>
      <c r="W21" s="18"/>
      <c r="X21" s="18"/>
      <c r="Y21" s="18"/>
      <c r="Z21" s="18"/>
    </row>
    <row r="22" spans="1:26" ht="28.5" customHeight="1" x14ac:dyDescent="0.25">
      <c r="A22" s="19" t="s">
        <v>1242</v>
      </c>
      <c r="B22" s="19"/>
      <c r="C22" s="19"/>
      <c r="D22" s="19">
        <v>436.8</v>
      </c>
      <c r="E22" s="19">
        <v>450.2</v>
      </c>
      <c r="F22" s="19">
        <f t="shared" si="0"/>
        <v>-13.399999999999977</v>
      </c>
      <c r="G22" s="19">
        <f t="shared" si="1"/>
        <v>-2.9764549089293597</v>
      </c>
      <c r="H22" s="54"/>
      <c r="I22" s="54"/>
      <c r="J22" s="54"/>
      <c r="K22" s="54"/>
      <c r="L22" s="54"/>
      <c r="M22" s="54"/>
      <c r="N22" s="54"/>
      <c r="O22" s="54"/>
      <c r="P22" s="54"/>
      <c r="Q22" s="54"/>
      <c r="R22" s="54"/>
      <c r="S22" s="54"/>
      <c r="T22" s="54"/>
      <c r="U22" s="54"/>
      <c r="V22" s="54"/>
      <c r="W22" s="54"/>
      <c r="X22" s="54"/>
      <c r="Y22" s="54"/>
      <c r="Z22" s="54"/>
    </row>
    <row r="23" spans="1:26" ht="28.5" customHeight="1" x14ac:dyDescent="0.25">
      <c r="A23" s="19" t="s">
        <v>1243</v>
      </c>
      <c r="B23" s="19"/>
      <c r="C23" s="19"/>
      <c r="D23" s="19">
        <v>955.2</v>
      </c>
      <c r="E23" s="19">
        <v>924.3</v>
      </c>
      <c r="F23" s="19">
        <f t="shared" si="0"/>
        <v>30.900000000000091</v>
      </c>
      <c r="G23" s="19">
        <f t="shared" si="1"/>
        <v>3.3430704316780364</v>
      </c>
      <c r="H23" s="54"/>
      <c r="I23" s="54"/>
      <c r="J23" s="54"/>
      <c r="K23" s="54"/>
      <c r="L23" s="54"/>
      <c r="M23" s="54"/>
      <c r="N23" s="54"/>
      <c r="O23" s="54"/>
      <c r="P23" s="54"/>
      <c r="Q23" s="54"/>
      <c r="R23" s="54"/>
      <c r="S23" s="54"/>
      <c r="T23" s="54"/>
      <c r="U23" s="54"/>
      <c r="V23" s="54"/>
      <c r="W23" s="54"/>
      <c r="X23" s="54"/>
      <c r="Y23" s="54"/>
      <c r="Z23" s="54"/>
    </row>
    <row r="24" spans="1:26" ht="28.5" customHeight="1" x14ac:dyDescent="0.25">
      <c r="A24" s="19" t="s">
        <v>1244</v>
      </c>
      <c r="B24" s="19"/>
      <c r="C24" s="19"/>
      <c r="D24" s="19">
        <v>334.1</v>
      </c>
      <c r="E24" s="19">
        <v>333.8</v>
      </c>
      <c r="F24" s="200">
        <f t="shared" si="0"/>
        <v>0.30000000000001137</v>
      </c>
      <c r="G24" s="200">
        <f t="shared" si="1"/>
        <v>8.9874176153388663E-2</v>
      </c>
      <c r="H24" s="18"/>
      <c r="I24" s="18"/>
      <c r="J24" s="18"/>
      <c r="K24" s="18"/>
      <c r="L24" s="18"/>
      <c r="M24" s="18"/>
      <c r="N24" s="18"/>
      <c r="O24" s="18"/>
      <c r="P24" s="18"/>
      <c r="Q24" s="18"/>
      <c r="R24" s="18"/>
      <c r="S24" s="18"/>
      <c r="T24" s="18"/>
      <c r="U24" s="18"/>
      <c r="V24" s="18"/>
      <c r="W24" s="18"/>
      <c r="X24" s="18"/>
      <c r="Y24" s="18"/>
      <c r="Z24" s="18"/>
    </row>
    <row r="25" spans="1:26" ht="28.5" customHeight="1" x14ac:dyDescent="0.25">
      <c r="A25" s="19" t="s">
        <v>1245</v>
      </c>
      <c r="B25" s="19"/>
      <c r="C25" s="19"/>
      <c r="D25" s="19">
        <v>31.4</v>
      </c>
      <c r="E25" s="19">
        <v>33.6</v>
      </c>
      <c r="F25" s="19">
        <f t="shared" si="0"/>
        <v>-2.2000000000000028</v>
      </c>
      <c r="G25" s="19">
        <f t="shared" si="1"/>
        <v>-6.5476190476190563</v>
      </c>
      <c r="H25" s="18"/>
      <c r="I25" s="18"/>
      <c r="J25" s="18"/>
      <c r="K25" s="18"/>
      <c r="L25" s="18"/>
      <c r="M25" s="18"/>
      <c r="N25" s="18"/>
      <c r="O25" s="18"/>
      <c r="P25" s="18"/>
      <c r="Q25" s="18"/>
      <c r="R25" s="18"/>
      <c r="S25" s="18"/>
      <c r="T25" s="18"/>
      <c r="U25" s="18"/>
      <c r="V25" s="18"/>
      <c r="W25" s="18"/>
      <c r="X25" s="18"/>
      <c r="Y25" s="18"/>
      <c r="Z25" s="18"/>
    </row>
    <row r="26" spans="1:26" ht="28.5" customHeight="1" x14ac:dyDescent="0.25">
      <c r="A26" s="19" t="s">
        <v>1246</v>
      </c>
      <c r="B26" s="19"/>
      <c r="C26" s="19"/>
      <c r="D26" s="19">
        <v>140.1</v>
      </c>
      <c r="E26" s="19">
        <v>143.80000000000001</v>
      </c>
      <c r="F26" s="19">
        <f t="shared" si="0"/>
        <v>-3.7000000000000171</v>
      </c>
      <c r="G26" s="19">
        <f t="shared" si="1"/>
        <v>-2.5730180806676053</v>
      </c>
      <c r="H26" s="54"/>
      <c r="I26" s="54"/>
      <c r="J26" s="54"/>
      <c r="K26" s="54"/>
      <c r="L26" s="54"/>
      <c r="M26" s="54"/>
      <c r="N26" s="54"/>
      <c r="O26" s="54"/>
      <c r="P26" s="54"/>
      <c r="Q26" s="54"/>
      <c r="R26" s="54"/>
      <c r="S26" s="54"/>
      <c r="T26" s="54"/>
      <c r="U26" s="54"/>
      <c r="V26" s="54"/>
      <c r="W26" s="54"/>
      <c r="X26" s="54"/>
      <c r="Y26" s="54"/>
      <c r="Z26" s="54"/>
    </row>
    <row r="27" spans="1:26" ht="28.5" customHeight="1" x14ac:dyDescent="0.25">
      <c r="A27" s="19" t="s">
        <v>1247</v>
      </c>
      <c r="B27" s="19"/>
      <c r="C27" s="19"/>
      <c r="D27" s="19">
        <v>-37.9</v>
      </c>
      <c r="E27" s="19">
        <v>-39.200000000000003</v>
      </c>
      <c r="F27" s="19">
        <f t="shared" si="0"/>
        <v>1.3000000000000043</v>
      </c>
      <c r="G27" s="19">
        <f t="shared" si="1"/>
        <v>-3.3163265306122556</v>
      </c>
      <c r="H27" s="54"/>
      <c r="I27" s="54"/>
      <c r="J27" s="54"/>
      <c r="K27" s="54"/>
      <c r="L27" s="54"/>
      <c r="M27" s="54"/>
      <c r="N27" s="54"/>
      <c r="O27" s="54"/>
      <c r="P27" s="54"/>
      <c r="Q27" s="54"/>
      <c r="R27" s="54"/>
      <c r="S27" s="54"/>
      <c r="T27" s="54"/>
      <c r="U27" s="54"/>
      <c r="V27" s="54"/>
      <c r="W27" s="54"/>
      <c r="X27" s="54"/>
      <c r="Y27" s="54"/>
      <c r="Z27" s="54"/>
    </row>
    <row r="28" spans="1:26" ht="28.5" customHeight="1" x14ac:dyDescent="0.25">
      <c r="A28" s="19" t="s">
        <v>248</v>
      </c>
      <c r="B28" s="19"/>
      <c r="C28" s="19"/>
      <c r="D28" s="19">
        <v>1422.8</v>
      </c>
      <c r="E28" s="19">
        <v>1396.2</v>
      </c>
      <c r="F28" s="19">
        <f t="shared" si="0"/>
        <v>26.599999999999909</v>
      </c>
      <c r="G28" s="19">
        <f t="shared" si="1"/>
        <v>1.905171178914189</v>
      </c>
      <c r="H28" s="54"/>
      <c r="I28" s="54"/>
      <c r="J28" s="54"/>
      <c r="K28" s="54"/>
      <c r="L28" s="54"/>
      <c r="M28" s="54"/>
      <c r="N28" s="54"/>
      <c r="O28" s="54"/>
      <c r="P28" s="54"/>
      <c r="Q28" s="54"/>
      <c r="R28" s="54"/>
      <c r="S28" s="54"/>
      <c r="T28" s="54"/>
      <c r="U28" s="54"/>
      <c r="V28" s="54"/>
      <c r="W28" s="54"/>
      <c r="X28" s="54"/>
      <c r="Y28" s="54"/>
      <c r="Z28" s="54"/>
    </row>
  </sheetData>
  <pageMargins left="0.7" right="0.7" top="0.75" bottom="0.75" header="0" footer="0"/>
  <pageSetup orientation="landscape"/>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2A5DB0"/>
  </sheetPr>
  <dimension ref="A1:Z60"/>
  <sheetViews>
    <sheetView workbookViewId="0">
      <pane ySplit="1" topLeftCell="A2" activePane="bottomLeft" state="frozen"/>
      <selection pane="bottomLeft"/>
    </sheetView>
  </sheetViews>
  <sheetFormatPr defaultColWidth="14.44140625" defaultRowHeight="15.75" customHeight="1" x14ac:dyDescent="0.25"/>
  <cols>
    <col min="1" max="1" width="26" customWidth="1"/>
    <col min="2" max="2" width="20.44140625" customWidth="1"/>
    <col min="3" max="3" width="21.44140625" customWidth="1"/>
    <col min="4" max="4" width="11.21875" customWidth="1"/>
    <col min="5" max="5" width="9.77734375" customWidth="1"/>
    <col min="6" max="8" width="12.44140625" customWidth="1"/>
    <col min="9" max="9" width="10" customWidth="1"/>
    <col min="10" max="10" width="9.5546875" customWidth="1"/>
    <col min="11" max="11" width="10" customWidth="1"/>
    <col min="12" max="12" width="12.33203125" customWidth="1"/>
    <col min="13" max="13" width="10.6640625" customWidth="1"/>
    <col min="14" max="14" width="12" customWidth="1"/>
    <col min="15" max="15" width="10.44140625" customWidth="1"/>
    <col min="16" max="16" width="12.33203125" customWidth="1"/>
    <col min="17" max="17" width="8.33203125" customWidth="1"/>
    <col min="18" max="26" width="10.6640625" customWidth="1"/>
  </cols>
  <sheetData>
    <row r="1" spans="1:26" ht="34.5" customHeight="1" x14ac:dyDescent="0.25">
      <c r="A1" s="46" t="s">
        <v>1790</v>
      </c>
      <c r="B1" s="47" t="s">
        <v>10</v>
      </c>
      <c r="C1" s="47" t="s">
        <v>11</v>
      </c>
      <c r="D1" s="48" t="s">
        <v>1704</v>
      </c>
      <c r="E1" s="48" t="s">
        <v>1678</v>
      </c>
      <c r="F1" s="48" t="s">
        <v>1654</v>
      </c>
      <c r="G1" s="48" t="s">
        <v>1686</v>
      </c>
      <c r="H1" s="48" t="s">
        <v>1791</v>
      </c>
      <c r="I1" s="9" t="s">
        <v>1687</v>
      </c>
      <c r="J1" s="48" t="s">
        <v>1704</v>
      </c>
      <c r="K1" s="48" t="s">
        <v>1678</v>
      </c>
      <c r="L1" s="48" t="s">
        <v>1654</v>
      </c>
      <c r="M1" s="48" t="s">
        <v>1686</v>
      </c>
      <c r="N1" s="48" t="s">
        <v>1791</v>
      </c>
      <c r="O1" s="48" t="s">
        <v>1688</v>
      </c>
      <c r="P1" s="47" t="s">
        <v>1682</v>
      </c>
      <c r="Q1" s="48" t="s">
        <v>1683</v>
      </c>
      <c r="R1" s="93"/>
      <c r="S1" s="93"/>
      <c r="T1" s="93"/>
      <c r="U1" s="93"/>
      <c r="V1" s="93"/>
      <c r="W1" s="93"/>
      <c r="X1" s="93"/>
      <c r="Y1" s="93"/>
      <c r="Z1" s="93"/>
    </row>
    <row r="2" spans="1:26" ht="28.5" customHeight="1" x14ac:dyDescent="0.25">
      <c r="A2" s="11" t="s">
        <v>457</v>
      </c>
      <c r="B2" s="11" t="s">
        <v>458</v>
      </c>
      <c r="C2" s="11" t="s">
        <v>129</v>
      </c>
      <c r="D2" s="51">
        <v>1272</v>
      </c>
      <c r="E2" s="51">
        <v>2688</v>
      </c>
      <c r="F2" s="51">
        <v>585</v>
      </c>
      <c r="G2" s="51">
        <v>404</v>
      </c>
      <c r="H2" s="51">
        <v>2260</v>
      </c>
      <c r="I2" s="51">
        <v>4949</v>
      </c>
      <c r="J2" s="51">
        <v>1089</v>
      </c>
      <c r="K2" s="51">
        <v>2343</v>
      </c>
      <c r="L2" s="11">
        <v>421</v>
      </c>
      <c r="M2" s="51">
        <v>367</v>
      </c>
      <c r="N2" s="51">
        <v>1877</v>
      </c>
      <c r="O2" s="51">
        <v>4220</v>
      </c>
      <c r="P2" s="25">
        <f t="shared" ref="P2:P60" si="0">I2-O2</f>
        <v>729</v>
      </c>
      <c r="Q2" s="51">
        <f t="shared" ref="Q2:Q16" si="1">(P2/O2)*100</f>
        <v>17.27488151658768</v>
      </c>
      <c r="R2" s="18"/>
      <c r="S2" s="18"/>
      <c r="T2" s="18"/>
      <c r="U2" s="18"/>
      <c r="V2" s="18"/>
      <c r="W2" s="18"/>
      <c r="X2" s="18"/>
      <c r="Y2" s="18"/>
      <c r="Z2" s="18"/>
    </row>
    <row r="3" spans="1:26" ht="28.5" customHeight="1" x14ac:dyDescent="0.25">
      <c r="A3" s="11" t="s">
        <v>1249</v>
      </c>
      <c r="B3" s="11" t="s">
        <v>1250</v>
      </c>
      <c r="C3" s="11" t="s">
        <v>62</v>
      </c>
      <c r="D3" s="51">
        <v>106</v>
      </c>
      <c r="E3" s="51">
        <v>716</v>
      </c>
      <c r="F3" s="51">
        <v>34</v>
      </c>
      <c r="G3" s="51">
        <v>64</v>
      </c>
      <c r="H3" s="51">
        <v>203</v>
      </c>
      <c r="I3" s="51">
        <v>919</v>
      </c>
      <c r="J3" s="51">
        <v>80</v>
      </c>
      <c r="K3" s="51">
        <v>899</v>
      </c>
      <c r="L3" s="11">
        <v>57</v>
      </c>
      <c r="M3" s="51">
        <v>71</v>
      </c>
      <c r="N3" s="51">
        <v>208</v>
      </c>
      <c r="O3" s="51">
        <v>1107</v>
      </c>
      <c r="P3" s="25">
        <f t="shared" si="0"/>
        <v>-188</v>
      </c>
      <c r="Q3" s="51">
        <f t="shared" si="1"/>
        <v>-16.982836495031616</v>
      </c>
      <c r="R3" s="18"/>
      <c r="S3" s="18"/>
      <c r="T3" s="18"/>
      <c r="U3" s="18"/>
      <c r="V3" s="18"/>
      <c r="W3" s="18"/>
      <c r="X3" s="18"/>
      <c r="Y3" s="18"/>
      <c r="Z3" s="18"/>
    </row>
    <row r="4" spans="1:26" ht="28.5" customHeight="1" x14ac:dyDescent="0.25">
      <c r="A4" s="11" t="s">
        <v>1251</v>
      </c>
      <c r="B4" s="11" t="s">
        <v>1252</v>
      </c>
      <c r="C4" s="11" t="s">
        <v>81</v>
      </c>
      <c r="D4" s="51">
        <v>1</v>
      </c>
      <c r="E4" s="51">
        <v>637</v>
      </c>
      <c r="F4" s="51">
        <v>19</v>
      </c>
      <c r="G4" s="51">
        <v>22</v>
      </c>
      <c r="H4" s="51">
        <v>42</v>
      </c>
      <c r="I4" s="51">
        <v>680</v>
      </c>
      <c r="J4" s="51">
        <v>2</v>
      </c>
      <c r="K4" s="51">
        <v>690</v>
      </c>
      <c r="L4" s="11">
        <v>22</v>
      </c>
      <c r="M4" s="51">
        <v>21</v>
      </c>
      <c r="N4" s="51">
        <v>44</v>
      </c>
      <c r="O4" s="51">
        <v>734</v>
      </c>
      <c r="P4" s="25">
        <f t="shared" si="0"/>
        <v>-54</v>
      </c>
      <c r="Q4" s="51">
        <f t="shared" si="1"/>
        <v>-7.3569482288828345</v>
      </c>
      <c r="R4" s="18"/>
      <c r="S4" s="18"/>
      <c r="T4" s="18"/>
      <c r="U4" s="18"/>
      <c r="V4" s="18"/>
      <c r="W4" s="18"/>
      <c r="X4" s="18"/>
      <c r="Y4" s="18"/>
      <c r="Z4" s="18"/>
    </row>
    <row r="5" spans="1:26" ht="28.5" customHeight="1" x14ac:dyDescent="0.25">
      <c r="A5" s="11" t="s">
        <v>1253</v>
      </c>
      <c r="B5" s="11" t="s">
        <v>1254</v>
      </c>
      <c r="C5" s="11" t="s">
        <v>126</v>
      </c>
      <c r="D5" s="51">
        <v>0</v>
      </c>
      <c r="E5" s="51">
        <v>274</v>
      </c>
      <c r="F5" s="51">
        <v>0</v>
      </c>
      <c r="G5" s="51">
        <v>0</v>
      </c>
      <c r="H5" s="51">
        <v>0</v>
      </c>
      <c r="I5" s="51">
        <v>274</v>
      </c>
      <c r="J5" s="51">
        <v>0</v>
      </c>
      <c r="K5" s="51">
        <v>287</v>
      </c>
      <c r="L5" s="11">
        <v>0</v>
      </c>
      <c r="M5" s="51">
        <v>0</v>
      </c>
      <c r="N5" s="51">
        <v>0</v>
      </c>
      <c r="O5" s="51">
        <v>287</v>
      </c>
      <c r="P5" s="25">
        <f t="shared" si="0"/>
        <v>-13</v>
      </c>
      <c r="Q5" s="51">
        <f t="shared" si="1"/>
        <v>-4.529616724738676</v>
      </c>
      <c r="R5" s="18"/>
      <c r="S5" s="18"/>
      <c r="T5" s="18"/>
      <c r="U5" s="18"/>
      <c r="V5" s="18"/>
      <c r="W5" s="18"/>
      <c r="X5" s="18"/>
      <c r="Y5" s="18"/>
      <c r="Z5" s="18"/>
    </row>
    <row r="6" spans="1:26" ht="28.5" customHeight="1" x14ac:dyDescent="0.25">
      <c r="A6" s="11" t="s">
        <v>1255</v>
      </c>
      <c r="B6" s="11" t="s">
        <v>1256</v>
      </c>
      <c r="C6" s="11" t="s">
        <v>258</v>
      </c>
      <c r="D6" s="51">
        <v>66</v>
      </c>
      <c r="E6" s="51">
        <v>83</v>
      </c>
      <c r="F6" s="51">
        <v>11</v>
      </c>
      <c r="G6" s="51">
        <v>93</v>
      </c>
      <c r="H6" s="51">
        <v>170</v>
      </c>
      <c r="I6" s="51">
        <v>252</v>
      </c>
      <c r="J6" s="51">
        <v>67</v>
      </c>
      <c r="K6" s="51">
        <v>70</v>
      </c>
      <c r="L6" s="11">
        <v>11</v>
      </c>
      <c r="M6" s="51">
        <v>101</v>
      </c>
      <c r="N6" s="51">
        <v>180</v>
      </c>
      <c r="O6" s="51">
        <v>250</v>
      </c>
      <c r="P6" s="25">
        <f t="shared" si="0"/>
        <v>2</v>
      </c>
      <c r="Q6" s="51">
        <f t="shared" si="1"/>
        <v>0.8</v>
      </c>
      <c r="R6" s="18"/>
      <c r="S6" s="18"/>
      <c r="T6" s="18"/>
      <c r="U6" s="18"/>
      <c r="V6" s="18"/>
      <c r="W6" s="18"/>
      <c r="X6" s="18"/>
      <c r="Y6" s="18"/>
      <c r="Z6" s="18"/>
    </row>
    <row r="7" spans="1:26" ht="28.5" customHeight="1" x14ac:dyDescent="0.25">
      <c r="A7" s="11" t="s">
        <v>1257</v>
      </c>
      <c r="B7" s="11"/>
      <c r="C7" s="11"/>
      <c r="D7" s="51">
        <v>532</v>
      </c>
      <c r="E7" s="51">
        <v>367</v>
      </c>
      <c r="F7" s="51">
        <v>691</v>
      </c>
      <c r="G7" s="51">
        <v>339</v>
      </c>
      <c r="H7" s="51">
        <v>1562</v>
      </c>
      <c r="I7" s="51">
        <v>1930</v>
      </c>
      <c r="J7" s="51">
        <v>539</v>
      </c>
      <c r="K7" s="51">
        <v>476</v>
      </c>
      <c r="L7" s="11">
        <v>797</v>
      </c>
      <c r="M7" s="51">
        <v>380</v>
      </c>
      <c r="N7" s="51">
        <v>1716</v>
      </c>
      <c r="O7" s="51">
        <v>2192</v>
      </c>
      <c r="P7" s="25">
        <f t="shared" si="0"/>
        <v>-262</v>
      </c>
      <c r="Q7" s="51">
        <f t="shared" si="1"/>
        <v>-11.952554744525548</v>
      </c>
      <c r="R7" s="18"/>
      <c r="S7" s="18"/>
      <c r="T7" s="18"/>
      <c r="U7" s="18"/>
      <c r="V7" s="18"/>
      <c r="W7" s="18"/>
      <c r="X7" s="18"/>
      <c r="Y7" s="18"/>
      <c r="Z7" s="18"/>
    </row>
    <row r="8" spans="1:26" ht="28.5" customHeight="1" x14ac:dyDescent="0.25">
      <c r="A8" s="26" t="s">
        <v>1258</v>
      </c>
      <c r="B8" s="26"/>
      <c r="C8" s="26"/>
      <c r="D8" s="19">
        <v>1977</v>
      </c>
      <c r="E8" s="19">
        <v>4764</v>
      </c>
      <c r="F8" s="19">
        <v>1340</v>
      </c>
      <c r="G8" s="19">
        <v>921</v>
      </c>
      <c r="H8" s="19">
        <v>4238</v>
      </c>
      <c r="I8" s="19">
        <v>9003</v>
      </c>
      <c r="J8" s="19">
        <v>1777</v>
      </c>
      <c r="K8" s="19">
        <v>4764</v>
      </c>
      <c r="L8" s="19">
        <v>1308</v>
      </c>
      <c r="M8" s="19">
        <v>941</v>
      </c>
      <c r="N8" s="19">
        <v>4025</v>
      </c>
      <c r="O8" s="19">
        <v>8790</v>
      </c>
      <c r="P8" s="22">
        <f t="shared" si="0"/>
        <v>213</v>
      </c>
      <c r="Q8" s="19">
        <f t="shared" si="1"/>
        <v>2.4232081911262795</v>
      </c>
      <c r="R8" s="18"/>
      <c r="S8" s="18"/>
      <c r="T8" s="18"/>
      <c r="U8" s="18"/>
      <c r="V8" s="18"/>
      <c r="W8" s="18"/>
      <c r="X8" s="18"/>
      <c r="Y8" s="18"/>
      <c r="Z8" s="18"/>
    </row>
    <row r="9" spans="1:26" ht="28.5" customHeight="1" x14ac:dyDescent="0.25">
      <c r="A9" s="11" t="s">
        <v>1259</v>
      </c>
      <c r="B9" s="11" t="s">
        <v>1260</v>
      </c>
      <c r="C9" s="11" t="s">
        <v>49</v>
      </c>
      <c r="D9" s="51">
        <v>910</v>
      </c>
      <c r="E9" s="51">
        <v>3634</v>
      </c>
      <c r="F9" s="51">
        <v>458</v>
      </c>
      <c r="G9" s="51">
        <v>390</v>
      </c>
      <c r="H9" s="51">
        <v>1758</v>
      </c>
      <c r="I9" s="51">
        <v>5392</v>
      </c>
      <c r="J9" s="51">
        <v>982</v>
      </c>
      <c r="K9" s="51">
        <v>3250</v>
      </c>
      <c r="L9" s="51">
        <v>391</v>
      </c>
      <c r="M9" s="51">
        <v>336</v>
      </c>
      <c r="N9" s="51">
        <v>1710</v>
      </c>
      <c r="O9" s="51">
        <v>4961</v>
      </c>
      <c r="P9" s="25">
        <f t="shared" si="0"/>
        <v>431</v>
      </c>
      <c r="Q9" s="51">
        <f t="shared" si="1"/>
        <v>8.6877645635960494</v>
      </c>
      <c r="R9" s="18"/>
      <c r="S9" s="18"/>
      <c r="T9" s="18"/>
      <c r="U9" s="18"/>
      <c r="V9" s="18"/>
      <c r="W9" s="18"/>
      <c r="X9" s="18"/>
      <c r="Y9" s="18"/>
      <c r="Z9" s="18"/>
    </row>
    <row r="10" spans="1:26" ht="28.5" customHeight="1" x14ac:dyDescent="0.25">
      <c r="A10" s="11" t="s">
        <v>1261</v>
      </c>
      <c r="B10" s="11" t="s">
        <v>1262</v>
      </c>
      <c r="C10" s="49" t="s">
        <v>49</v>
      </c>
      <c r="D10" s="50">
        <v>0</v>
      </c>
      <c r="E10" s="50">
        <v>1024</v>
      </c>
      <c r="F10" s="50">
        <v>0</v>
      </c>
      <c r="G10" s="50">
        <v>0</v>
      </c>
      <c r="H10" s="51">
        <v>0</v>
      </c>
      <c r="I10" s="50">
        <v>1024</v>
      </c>
      <c r="J10" s="50">
        <v>0</v>
      </c>
      <c r="K10" s="50">
        <v>838</v>
      </c>
      <c r="L10" s="50">
        <v>0</v>
      </c>
      <c r="M10" s="50">
        <v>0</v>
      </c>
      <c r="N10" s="50">
        <v>0</v>
      </c>
      <c r="O10" s="50">
        <v>838</v>
      </c>
      <c r="P10" s="25">
        <f t="shared" si="0"/>
        <v>186</v>
      </c>
      <c r="Q10" s="51">
        <f t="shared" si="1"/>
        <v>22.195704057279237</v>
      </c>
      <c r="R10" s="18"/>
      <c r="S10" s="18"/>
      <c r="T10" s="18"/>
      <c r="U10" s="18"/>
      <c r="V10" s="18"/>
      <c r="W10" s="18"/>
      <c r="X10" s="18"/>
      <c r="Y10" s="18"/>
      <c r="Z10" s="18"/>
    </row>
    <row r="11" spans="1:26" ht="28.5" customHeight="1" x14ac:dyDescent="0.25">
      <c r="A11" s="11" t="s">
        <v>1263</v>
      </c>
      <c r="B11" s="11" t="s">
        <v>1264</v>
      </c>
      <c r="C11" s="11" t="s">
        <v>49</v>
      </c>
      <c r="D11" s="51">
        <v>246</v>
      </c>
      <c r="E11" s="51">
        <v>223</v>
      </c>
      <c r="F11" s="51">
        <v>261</v>
      </c>
      <c r="G11" s="51">
        <v>90</v>
      </c>
      <c r="H11" s="51">
        <v>597</v>
      </c>
      <c r="I11" s="51">
        <v>819</v>
      </c>
      <c r="J11" s="51">
        <v>284</v>
      </c>
      <c r="K11" s="51">
        <v>283</v>
      </c>
      <c r="L11" s="51">
        <v>266</v>
      </c>
      <c r="M11" s="51">
        <v>102</v>
      </c>
      <c r="N11" s="51">
        <v>653</v>
      </c>
      <c r="O11" s="51">
        <v>936</v>
      </c>
      <c r="P11" s="25">
        <f t="shared" si="0"/>
        <v>-117</v>
      </c>
      <c r="Q11" s="51">
        <f t="shared" si="1"/>
        <v>-12.5</v>
      </c>
      <c r="R11" s="18"/>
      <c r="S11" s="18"/>
      <c r="T11" s="18"/>
      <c r="U11" s="18"/>
      <c r="V11" s="18"/>
      <c r="W11" s="18"/>
      <c r="X11" s="18"/>
      <c r="Y11" s="18"/>
      <c r="Z11" s="18"/>
    </row>
    <row r="12" spans="1:26" ht="28.5" customHeight="1" x14ac:dyDescent="0.25">
      <c r="A12" s="11" t="s">
        <v>1265</v>
      </c>
      <c r="B12" s="11" t="s">
        <v>1266</v>
      </c>
      <c r="C12" s="11" t="s">
        <v>49</v>
      </c>
      <c r="D12" s="51">
        <v>93</v>
      </c>
      <c r="E12" s="51">
        <v>523</v>
      </c>
      <c r="F12" s="51">
        <v>91</v>
      </c>
      <c r="G12" s="51">
        <v>80</v>
      </c>
      <c r="H12" s="51">
        <v>264</v>
      </c>
      <c r="I12" s="51">
        <v>787</v>
      </c>
      <c r="J12" s="51">
        <v>40</v>
      </c>
      <c r="K12" s="51">
        <v>295</v>
      </c>
      <c r="L12" s="51">
        <v>70</v>
      </c>
      <c r="M12" s="51">
        <v>71</v>
      </c>
      <c r="N12" s="51">
        <v>182</v>
      </c>
      <c r="O12" s="51">
        <v>477</v>
      </c>
      <c r="P12" s="25">
        <f t="shared" si="0"/>
        <v>310</v>
      </c>
      <c r="Q12" s="51">
        <f t="shared" si="1"/>
        <v>64.989517819706492</v>
      </c>
      <c r="R12" s="18"/>
      <c r="S12" s="18"/>
      <c r="T12" s="18"/>
      <c r="U12" s="18"/>
      <c r="V12" s="18"/>
      <c r="W12" s="18"/>
      <c r="X12" s="18"/>
      <c r="Y12" s="18"/>
      <c r="Z12" s="18"/>
    </row>
    <row r="13" spans="1:26" ht="28.5" customHeight="1" x14ac:dyDescent="0.25">
      <c r="A13" s="11" t="s">
        <v>1267</v>
      </c>
      <c r="B13" s="11" t="s">
        <v>1268</v>
      </c>
      <c r="C13" s="11" t="s">
        <v>49</v>
      </c>
      <c r="D13" s="51">
        <v>105</v>
      </c>
      <c r="E13" s="51">
        <v>138</v>
      </c>
      <c r="F13" s="51">
        <v>254</v>
      </c>
      <c r="G13" s="51">
        <v>47</v>
      </c>
      <c r="H13" s="51">
        <v>406</v>
      </c>
      <c r="I13" s="51">
        <v>544</v>
      </c>
      <c r="J13" s="51">
        <v>113</v>
      </c>
      <c r="K13" s="51">
        <v>149</v>
      </c>
      <c r="L13" s="51">
        <v>219</v>
      </c>
      <c r="M13" s="51">
        <v>49</v>
      </c>
      <c r="N13" s="51">
        <v>381</v>
      </c>
      <c r="O13" s="51">
        <v>530</v>
      </c>
      <c r="P13" s="25">
        <f t="shared" si="0"/>
        <v>14</v>
      </c>
      <c r="Q13" s="51">
        <f t="shared" si="1"/>
        <v>2.6415094339622645</v>
      </c>
      <c r="R13" s="18"/>
      <c r="S13" s="18"/>
      <c r="T13" s="18"/>
      <c r="U13" s="18"/>
      <c r="V13" s="18"/>
      <c r="W13" s="18"/>
      <c r="X13" s="18"/>
      <c r="Y13" s="18"/>
      <c r="Z13" s="18"/>
    </row>
    <row r="14" spans="1:26" ht="28.5" customHeight="1" x14ac:dyDescent="0.25">
      <c r="A14" s="11" t="s">
        <v>1269</v>
      </c>
      <c r="B14" s="11" t="s">
        <v>1270</v>
      </c>
      <c r="C14" s="11" t="s">
        <v>49</v>
      </c>
      <c r="D14" s="51">
        <v>75</v>
      </c>
      <c r="E14" s="51">
        <v>304</v>
      </c>
      <c r="F14" s="51">
        <v>17</v>
      </c>
      <c r="G14" s="51">
        <v>54</v>
      </c>
      <c r="H14" s="51">
        <v>146</v>
      </c>
      <c r="I14" s="51">
        <v>450</v>
      </c>
      <c r="J14" s="51">
        <v>62</v>
      </c>
      <c r="K14" s="51">
        <v>243</v>
      </c>
      <c r="L14" s="51">
        <v>13</v>
      </c>
      <c r="M14" s="51">
        <v>47</v>
      </c>
      <c r="N14" s="51">
        <v>122</v>
      </c>
      <c r="O14" s="51">
        <v>365</v>
      </c>
      <c r="P14" s="25">
        <f t="shared" si="0"/>
        <v>85</v>
      </c>
      <c r="Q14" s="51">
        <f t="shared" si="1"/>
        <v>23.287671232876711</v>
      </c>
      <c r="R14" s="18"/>
      <c r="S14" s="18"/>
      <c r="T14" s="18"/>
      <c r="U14" s="18"/>
      <c r="V14" s="18"/>
      <c r="W14" s="18"/>
      <c r="X14" s="18"/>
      <c r="Y14" s="18"/>
      <c r="Z14" s="18"/>
    </row>
    <row r="15" spans="1:26" ht="28.5" customHeight="1" x14ac:dyDescent="0.25">
      <c r="A15" s="11" t="s">
        <v>1271</v>
      </c>
      <c r="B15" s="11" t="s">
        <v>1272</v>
      </c>
      <c r="C15" s="11" t="s">
        <v>49</v>
      </c>
      <c r="D15" s="51">
        <v>98</v>
      </c>
      <c r="E15" s="51">
        <v>278</v>
      </c>
      <c r="F15" s="51">
        <v>9</v>
      </c>
      <c r="G15" s="51">
        <v>0</v>
      </c>
      <c r="H15" s="51">
        <v>107</v>
      </c>
      <c r="I15" s="51">
        <v>386</v>
      </c>
      <c r="J15" s="51">
        <v>83</v>
      </c>
      <c r="K15" s="51">
        <v>141</v>
      </c>
      <c r="L15" s="51">
        <v>2</v>
      </c>
      <c r="M15" s="51">
        <v>0</v>
      </c>
      <c r="N15" s="51">
        <v>85</v>
      </c>
      <c r="O15" s="51">
        <v>225</v>
      </c>
      <c r="P15" s="25">
        <f t="shared" si="0"/>
        <v>161</v>
      </c>
      <c r="Q15" s="51">
        <f t="shared" si="1"/>
        <v>71.555555555555543</v>
      </c>
      <c r="R15" s="18"/>
      <c r="S15" s="18"/>
      <c r="T15" s="18"/>
      <c r="U15" s="18"/>
      <c r="V15" s="18"/>
      <c r="W15" s="18"/>
      <c r="X15" s="18"/>
      <c r="Y15" s="18"/>
      <c r="Z15" s="18"/>
    </row>
    <row r="16" spans="1:26" ht="28.5" customHeight="1" x14ac:dyDescent="0.25">
      <c r="A16" s="11" t="s">
        <v>1273</v>
      </c>
      <c r="B16" s="11" t="s">
        <v>1274</v>
      </c>
      <c r="C16" s="11" t="s">
        <v>49</v>
      </c>
      <c r="D16" s="51">
        <v>41</v>
      </c>
      <c r="E16" s="51">
        <v>112</v>
      </c>
      <c r="F16" s="51">
        <v>14</v>
      </c>
      <c r="G16" s="51">
        <v>37</v>
      </c>
      <c r="H16" s="51">
        <v>92</v>
      </c>
      <c r="I16" s="51">
        <v>204</v>
      </c>
      <c r="J16" s="51">
        <v>11</v>
      </c>
      <c r="K16" s="51">
        <v>77</v>
      </c>
      <c r="L16" s="51">
        <v>1</v>
      </c>
      <c r="M16" s="51">
        <v>26</v>
      </c>
      <c r="N16" s="51">
        <v>38</v>
      </c>
      <c r="O16" s="51">
        <v>115</v>
      </c>
      <c r="P16" s="25">
        <f t="shared" si="0"/>
        <v>89</v>
      </c>
      <c r="Q16" s="51">
        <f t="shared" si="1"/>
        <v>77.391304347826079</v>
      </c>
      <c r="R16" s="18"/>
      <c r="S16" s="18"/>
      <c r="T16" s="18"/>
      <c r="U16" s="18"/>
      <c r="V16" s="18"/>
      <c r="W16" s="18"/>
      <c r="X16" s="18"/>
      <c r="Y16" s="18"/>
      <c r="Z16" s="18"/>
    </row>
    <row r="17" spans="1:26" ht="28.5" customHeight="1" x14ac:dyDescent="0.25">
      <c r="A17" s="11" t="s">
        <v>1275</v>
      </c>
      <c r="B17" s="11" t="s">
        <v>1276</v>
      </c>
      <c r="C17" s="11" t="s">
        <v>49</v>
      </c>
      <c r="D17" s="51">
        <v>1</v>
      </c>
      <c r="E17" s="51">
        <v>164</v>
      </c>
      <c r="F17" s="51">
        <v>0</v>
      </c>
      <c r="G17" s="51">
        <v>5</v>
      </c>
      <c r="H17" s="51">
        <v>6</v>
      </c>
      <c r="I17" s="64">
        <v>170</v>
      </c>
      <c r="J17" s="51">
        <v>0</v>
      </c>
      <c r="K17" s="51">
        <v>0</v>
      </c>
      <c r="L17" s="51">
        <v>0</v>
      </c>
      <c r="M17" s="51">
        <v>0</v>
      </c>
      <c r="N17" s="51">
        <v>0</v>
      </c>
      <c r="O17" s="51">
        <v>-1</v>
      </c>
      <c r="P17" s="25">
        <f t="shared" si="0"/>
        <v>171</v>
      </c>
      <c r="Q17" s="51"/>
      <c r="R17" s="18"/>
      <c r="S17" s="18"/>
      <c r="T17" s="18"/>
      <c r="U17" s="18"/>
      <c r="V17" s="18"/>
      <c r="W17" s="18"/>
      <c r="X17" s="18"/>
      <c r="Y17" s="18"/>
      <c r="Z17" s="18"/>
    </row>
    <row r="18" spans="1:26" ht="28.5" customHeight="1" x14ac:dyDescent="0.25">
      <c r="A18" s="11" t="s">
        <v>1277</v>
      </c>
      <c r="B18" s="11" t="s">
        <v>1278</v>
      </c>
      <c r="C18" s="11" t="s">
        <v>49</v>
      </c>
      <c r="D18" s="51">
        <v>0</v>
      </c>
      <c r="E18" s="51">
        <v>160</v>
      </c>
      <c r="F18" s="51">
        <v>0</v>
      </c>
      <c r="G18" s="51">
        <v>0</v>
      </c>
      <c r="H18" s="51">
        <v>0</v>
      </c>
      <c r="I18" s="64">
        <v>160</v>
      </c>
      <c r="J18" s="51">
        <v>0</v>
      </c>
      <c r="K18" s="51">
        <v>0</v>
      </c>
      <c r="L18" s="51">
        <v>0</v>
      </c>
      <c r="M18" s="51">
        <v>0</v>
      </c>
      <c r="N18" s="51">
        <v>0</v>
      </c>
      <c r="O18" s="51">
        <v>48</v>
      </c>
      <c r="P18" s="25">
        <f t="shared" si="0"/>
        <v>112</v>
      </c>
      <c r="Q18" s="51"/>
      <c r="R18" s="18"/>
      <c r="S18" s="18"/>
      <c r="T18" s="18"/>
      <c r="U18" s="18"/>
      <c r="V18" s="18"/>
      <c r="W18" s="18"/>
      <c r="X18" s="18"/>
      <c r="Y18" s="18"/>
      <c r="Z18" s="18"/>
    </row>
    <row r="19" spans="1:26" ht="28.5" customHeight="1" x14ac:dyDescent="0.25">
      <c r="A19" s="11" t="s">
        <v>1279</v>
      </c>
      <c r="B19" s="11" t="s">
        <v>1280</v>
      </c>
      <c r="C19" s="11" t="s">
        <v>49</v>
      </c>
      <c r="D19" s="51">
        <v>59</v>
      </c>
      <c r="E19" s="51">
        <v>63</v>
      </c>
      <c r="F19" s="51">
        <v>3</v>
      </c>
      <c r="G19" s="51">
        <v>18</v>
      </c>
      <c r="H19" s="51">
        <v>80</v>
      </c>
      <c r="I19" s="51">
        <v>143</v>
      </c>
      <c r="J19" s="51">
        <v>0</v>
      </c>
      <c r="K19" s="51">
        <v>0</v>
      </c>
      <c r="L19" s="51">
        <v>0</v>
      </c>
      <c r="M19" s="51">
        <v>1</v>
      </c>
      <c r="N19" s="51">
        <v>1</v>
      </c>
      <c r="O19" s="51">
        <v>1</v>
      </c>
      <c r="P19" s="25">
        <f t="shared" si="0"/>
        <v>142</v>
      </c>
      <c r="Q19" s="51"/>
      <c r="R19" s="18"/>
      <c r="S19" s="18"/>
      <c r="T19" s="18"/>
      <c r="U19" s="18"/>
      <c r="V19" s="18"/>
      <c r="W19" s="18"/>
      <c r="X19" s="18"/>
      <c r="Y19" s="18"/>
      <c r="Z19" s="18"/>
    </row>
    <row r="20" spans="1:26" ht="28.5" customHeight="1" x14ac:dyDescent="0.25">
      <c r="A20" s="11" t="s">
        <v>1281</v>
      </c>
      <c r="B20" s="11" t="s">
        <v>1282</v>
      </c>
      <c r="C20" s="11" t="s">
        <v>49</v>
      </c>
      <c r="D20" s="51">
        <v>0</v>
      </c>
      <c r="E20" s="51">
        <v>142</v>
      </c>
      <c r="F20" s="51">
        <v>0</v>
      </c>
      <c r="G20" s="51">
        <v>0</v>
      </c>
      <c r="H20" s="51">
        <v>0</v>
      </c>
      <c r="I20" s="51">
        <v>142</v>
      </c>
      <c r="J20" s="51">
        <v>0</v>
      </c>
      <c r="K20" s="51">
        <v>49</v>
      </c>
      <c r="L20" s="51">
        <v>0</v>
      </c>
      <c r="M20" s="51">
        <v>0</v>
      </c>
      <c r="N20" s="51">
        <v>0</v>
      </c>
      <c r="O20" s="51">
        <v>49</v>
      </c>
      <c r="P20" s="25">
        <f t="shared" si="0"/>
        <v>93</v>
      </c>
      <c r="Q20" s="51"/>
      <c r="R20" s="18"/>
      <c r="S20" s="18"/>
      <c r="T20" s="18"/>
      <c r="U20" s="18"/>
      <c r="V20" s="18"/>
      <c r="W20" s="18"/>
      <c r="X20" s="18"/>
      <c r="Y20" s="18"/>
      <c r="Z20" s="18"/>
    </row>
    <row r="21" spans="1:26" ht="28.5" customHeight="1" x14ac:dyDescent="0.25">
      <c r="A21" s="11" t="s">
        <v>1283</v>
      </c>
      <c r="B21" s="11"/>
      <c r="C21" s="11" t="s">
        <v>49</v>
      </c>
      <c r="D21" s="51">
        <v>119</v>
      </c>
      <c r="E21" s="51">
        <v>282</v>
      </c>
      <c r="F21" s="51">
        <v>181</v>
      </c>
      <c r="G21" s="51">
        <v>63</v>
      </c>
      <c r="H21" s="51">
        <v>363</v>
      </c>
      <c r="I21" s="51">
        <v>645</v>
      </c>
      <c r="J21" s="51">
        <v>91</v>
      </c>
      <c r="K21" s="51">
        <v>219</v>
      </c>
      <c r="L21" s="51">
        <v>119</v>
      </c>
      <c r="M21" s="51">
        <v>41</v>
      </c>
      <c r="N21" s="51">
        <v>251</v>
      </c>
      <c r="O21" s="51">
        <v>470</v>
      </c>
      <c r="P21" s="25">
        <f t="shared" si="0"/>
        <v>175</v>
      </c>
      <c r="Q21" s="51">
        <f t="shared" ref="Q21:Q39" si="2">(P21/O21)*100</f>
        <v>37.234042553191486</v>
      </c>
      <c r="R21" s="18"/>
      <c r="S21" s="18"/>
      <c r="T21" s="18"/>
      <c r="U21" s="18"/>
      <c r="V21" s="18"/>
      <c r="W21" s="18"/>
      <c r="X21" s="18"/>
      <c r="Y21" s="18"/>
      <c r="Z21" s="18"/>
    </row>
    <row r="22" spans="1:26" ht="28.5" customHeight="1" x14ac:dyDescent="0.25">
      <c r="A22" s="26" t="s">
        <v>49</v>
      </c>
      <c r="B22" s="26"/>
      <c r="C22" s="147" t="s">
        <v>49</v>
      </c>
      <c r="D22" s="19">
        <v>1746</v>
      </c>
      <c r="E22" s="19">
        <v>7048</v>
      </c>
      <c r="F22" s="19">
        <v>1289</v>
      </c>
      <c r="G22" s="19">
        <v>785</v>
      </c>
      <c r="H22" s="19">
        <v>3819</v>
      </c>
      <c r="I22" s="19">
        <v>10867</v>
      </c>
      <c r="J22" s="19">
        <v>1667</v>
      </c>
      <c r="K22" s="19">
        <v>5591</v>
      </c>
      <c r="L22" s="19">
        <v>1081</v>
      </c>
      <c r="M22" s="19">
        <v>674</v>
      </c>
      <c r="N22" s="19">
        <v>3422</v>
      </c>
      <c r="O22" s="19">
        <v>9014</v>
      </c>
      <c r="P22" s="22">
        <f t="shared" si="0"/>
        <v>1853</v>
      </c>
      <c r="Q22" s="19">
        <f t="shared" si="2"/>
        <v>20.556911471045041</v>
      </c>
      <c r="R22" s="18"/>
      <c r="S22" s="18"/>
      <c r="T22" s="18"/>
      <c r="U22" s="18"/>
      <c r="V22" s="18"/>
      <c r="W22" s="18"/>
      <c r="X22" s="18"/>
      <c r="Y22" s="18"/>
      <c r="Z22" s="18"/>
    </row>
    <row r="23" spans="1:26" ht="28.5" customHeight="1" x14ac:dyDescent="0.25">
      <c r="A23" s="11" t="s">
        <v>1284</v>
      </c>
      <c r="B23" s="11" t="s">
        <v>1285</v>
      </c>
      <c r="C23" s="11" t="s">
        <v>258</v>
      </c>
      <c r="D23" s="51">
        <v>0</v>
      </c>
      <c r="E23" s="51">
        <v>0</v>
      </c>
      <c r="F23" s="51">
        <v>610</v>
      </c>
      <c r="G23" s="51">
        <v>8</v>
      </c>
      <c r="H23" s="51">
        <v>618</v>
      </c>
      <c r="I23" s="51">
        <v>618</v>
      </c>
      <c r="J23" s="51">
        <v>0</v>
      </c>
      <c r="K23" s="51">
        <v>0</v>
      </c>
      <c r="L23" s="51">
        <v>675</v>
      </c>
      <c r="M23" s="51">
        <v>9</v>
      </c>
      <c r="N23" s="51">
        <v>684</v>
      </c>
      <c r="O23" s="51">
        <v>684</v>
      </c>
      <c r="P23" s="25">
        <f t="shared" si="0"/>
        <v>-66</v>
      </c>
      <c r="Q23" s="51">
        <f t="shared" si="2"/>
        <v>-9.6491228070175428</v>
      </c>
      <c r="R23" s="18"/>
      <c r="S23" s="18"/>
      <c r="T23" s="18"/>
      <c r="U23" s="18"/>
      <c r="V23" s="18"/>
      <c r="W23" s="18"/>
      <c r="X23" s="18"/>
      <c r="Y23" s="18"/>
      <c r="Z23" s="18"/>
    </row>
    <row r="24" spans="1:26" ht="28.5" customHeight="1" x14ac:dyDescent="0.25">
      <c r="A24" s="11" t="s">
        <v>1286</v>
      </c>
      <c r="B24" s="11" t="s">
        <v>1287</v>
      </c>
      <c r="C24" s="11" t="s">
        <v>43</v>
      </c>
      <c r="D24" s="51">
        <v>55</v>
      </c>
      <c r="E24" s="51">
        <v>198</v>
      </c>
      <c r="F24" s="51">
        <v>109</v>
      </c>
      <c r="G24" s="51">
        <v>40</v>
      </c>
      <c r="H24" s="51">
        <v>204</v>
      </c>
      <c r="I24" s="51">
        <v>402</v>
      </c>
      <c r="J24" s="51">
        <v>67</v>
      </c>
      <c r="K24" s="51">
        <v>248</v>
      </c>
      <c r="L24" s="51">
        <v>111</v>
      </c>
      <c r="M24" s="51">
        <v>43</v>
      </c>
      <c r="N24" s="51">
        <v>221</v>
      </c>
      <c r="O24" s="51">
        <v>469</v>
      </c>
      <c r="P24" s="25">
        <f t="shared" si="0"/>
        <v>-67</v>
      </c>
      <c r="Q24" s="51">
        <f t="shared" si="2"/>
        <v>-14.285714285714285</v>
      </c>
      <c r="R24" s="18"/>
      <c r="S24" s="18"/>
      <c r="T24" s="18"/>
      <c r="U24" s="18"/>
      <c r="V24" s="18"/>
      <c r="W24" s="18"/>
      <c r="X24" s="18"/>
      <c r="Y24" s="18"/>
      <c r="Z24" s="18"/>
    </row>
    <row r="25" spans="1:26" ht="28.5" customHeight="1" x14ac:dyDescent="0.25">
      <c r="A25" s="11" t="s">
        <v>1288</v>
      </c>
      <c r="B25" s="11" t="s">
        <v>1289</v>
      </c>
      <c r="C25" s="11" t="s">
        <v>43</v>
      </c>
      <c r="D25" s="51">
        <v>0</v>
      </c>
      <c r="E25" s="51">
        <v>242</v>
      </c>
      <c r="F25" s="51">
        <v>0</v>
      </c>
      <c r="G25" s="51">
        <v>55</v>
      </c>
      <c r="H25" s="51">
        <v>55</v>
      </c>
      <c r="I25" s="51">
        <v>297</v>
      </c>
      <c r="J25" s="51">
        <v>0</v>
      </c>
      <c r="K25" s="51">
        <v>248</v>
      </c>
      <c r="L25" s="51">
        <v>0</v>
      </c>
      <c r="M25" s="51">
        <v>55</v>
      </c>
      <c r="N25" s="51">
        <v>55</v>
      </c>
      <c r="O25" s="51">
        <v>303</v>
      </c>
      <c r="P25" s="25">
        <f t="shared" si="0"/>
        <v>-6</v>
      </c>
      <c r="Q25" s="51">
        <f t="shared" si="2"/>
        <v>-1.9801980198019802</v>
      </c>
      <c r="R25" s="18"/>
      <c r="S25" s="18"/>
      <c r="T25" s="18"/>
      <c r="U25" s="18"/>
      <c r="V25" s="18"/>
      <c r="W25" s="18"/>
      <c r="X25" s="18"/>
      <c r="Y25" s="18"/>
      <c r="Z25" s="18"/>
    </row>
    <row r="26" spans="1:26" ht="28.5" customHeight="1" x14ac:dyDescent="0.25">
      <c r="A26" s="11" t="s">
        <v>1290</v>
      </c>
      <c r="B26" s="11" t="s">
        <v>1291</v>
      </c>
      <c r="C26" s="32" t="s">
        <v>89</v>
      </c>
      <c r="D26" s="51">
        <v>55</v>
      </c>
      <c r="E26" s="51">
        <v>5</v>
      </c>
      <c r="F26" s="51">
        <v>190</v>
      </c>
      <c r="G26" s="51">
        <v>27</v>
      </c>
      <c r="H26" s="51">
        <v>271</v>
      </c>
      <c r="I26" s="51">
        <v>276</v>
      </c>
      <c r="J26" s="51">
        <v>49</v>
      </c>
      <c r="K26" s="51">
        <v>-1</v>
      </c>
      <c r="L26" s="51">
        <v>250</v>
      </c>
      <c r="M26" s="51">
        <v>39</v>
      </c>
      <c r="N26" s="51">
        <v>338</v>
      </c>
      <c r="O26" s="51">
        <v>336</v>
      </c>
      <c r="P26" s="25">
        <f t="shared" si="0"/>
        <v>-60</v>
      </c>
      <c r="Q26" s="51">
        <f t="shared" si="2"/>
        <v>-17.857142857142858</v>
      </c>
      <c r="R26" s="18"/>
      <c r="S26" s="18"/>
      <c r="T26" s="18"/>
      <c r="U26" s="18"/>
      <c r="V26" s="18"/>
      <c r="W26" s="18"/>
      <c r="X26" s="18"/>
      <c r="Y26" s="18"/>
      <c r="Z26" s="18"/>
    </row>
    <row r="27" spans="1:26" ht="28.5" customHeight="1" x14ac:dyDescent="0.25">
      <c r="A27" s="11" t="s">
        <v>1292</v>
      </c>
      <c r="B27" s="11" t="s">
        <v>1293</v>
      </c>
      <c r="C27" s="32" t="s">
        <v>89</v>
      </c>
      <c r="D27" s="51">
        <v>17</v>
      </c>
      <c r="E27" s="51">
        <v>20</v>
      </c>
      <c r="F27" s="51">
        <v>179</v>
      </c>
      <c r="G27" s="51">
        <v>54</v>
      </c>
      <c r="H27" s="51">
        <v>250</v>
      </c>
      <c r="I27" s="51">
        <v>270</v>
      </c>
      <c r="J27" s="51">
        <v>21</v>
      </c>
      <c r="K27" s="51">
        <v>13</v>
      </c>
      <c r="L27" s="51">
        <v>240</v>
      </c>
      <c r="M27" s="51">
        <v>72</v>
      </c>
      <c r="N27" s="51">
        <v>333</v>
      </c>
      <c r="O27" s="51">
        <v>346</v>
      </c>
      <c r="P27" s="25">
        <f t="shared" si="0"/>
        <v>-76</v>
      </c>
      <c r="Q27" s="51">
        <f t="shared" si="2"/>
        <v>-21.965317919075144</v>
      </c>
      <c r="R27" s="18"/>
      <c r="S27" s="18"/>
      <c r="T27" s="18"/>
      <c r="U27" s="18"/>
      <c r="V27" s="18"/>
      <c r="W27" s="18"/>
      <c r="X27" s="18"/>
      <c r="Y27" s="18"/>
      <c r="Z27" s="18"/>
    </row>
    <row r="28" spans="1:26" ht="28.5" customHeight="1" x14ac:dyDescent="0.25">
      <c r="A28" s="11" t="s">
        <v>1294</v>
      </c>
      <c r="B28" s="11" t="s">
        <v>1295</v>
      </c>
      <c r="C28" s="24" t="s">
        <v>43</v>
      </c>
      <c r="D28" s="51">
        <v>0</v>
      </c>
      <c r="E28" s="51">
        <v>269</v>
      </c>
      <c r="F28" s="51">
        <v>0</v>
      </c>
      <c r="G28" s="51">
        <v>0</v>
      </c>
      <c r="H28" s="51">
        <v>0</v>
      </c>
      <c r="I28" s="51">
        <v>269</v>
      </c>
      <c r="J28" s="51">
        <v>0</v>
      </c>
      <c r="K28" s="51">
        <v>183</v>
      </c>
      <c r="L28" s="51">
        <v>0</v>
      </c>
      <c r="M28" s="51">
        <v>0</v>
      </c>
      <c r="N28" s="51">
        <v>0</v>
      </c>
      <c r="O28" s="51">
        <v>183</v>
      </c>
      <c r="P28" s="25">
        <f t="shared" si="0"/>
        <v>86</v>
      </c>
      <c r="Q28" s="51">
        <f t="shared" si="2"/>
        <v>46.994535519125684</v>
      </c>
      <c r="R28" s="18"/>
      <c r="S28" s="18"/>
      <c r="T28" s="18"/>
      <c r="U28" s="18"/>
      <c r="V28" s="18"/>
      <c r="W28" s="18"/>
      <c r="X28" s="18"/>
      <c r="Y28" s="18"/>
      <c r="Z28" s="18"/>
    </row>
    <row r="29" spans="1:26" ht="28.5" customHeight="1" x14ac:dyDescent="0.25">
      <c r="A29" s="11" t="s">
        <v>1296</v>
      </c>
      <c r="B29" s="11" t="s">
        <v>1297</v>
      </c>
      <c r="C29" s="11" t="s">
        <v>481</v>
      </c>
      <c r="D29" s="51">
        <v>0</v>
      </c>
      <c r="E29" s="51">
        <v>176</v>
      </c>
      <c r="F29" s="51">
        <v>57</v>
      </c>
      <c r="G29" s="51">
        <v>27</v>
      </c>
      <c r="H29" s="51">
        <v>84</v>
      </c>
      <c r="I29" s="51">
        <v>260</v>
      </c>
      <c r="J29" s="51">
        <v>0</v>
      </c>
      <c r="K29" s="51">
        <v>61</v>
      </c>
      <c r="L29" s="51">
        <v>43</v>
      </c>
      <c r="M29" s="51">
        <v>51</v>
      </c>
      <c r="N29" s="51">
        <v>94</v>
      </c>
      <c r="O29" s="51">
        <v>155</v>
      </c>
      <c r="P29" s="25">
        <f t="shared" si="0"/>
        <v>105</v>
      </c>
      <c r="Q29" s="51">
        <f t="shared" si="2"/>
        <v>67.741935483870961</v>
      </c>
      <c r="R29" s="18"/>
      <c r="S29" s="18"/>
      <c r="T29" s="18"/>
      <c r="U29" s="18"/>
      <c r="V29" s="18"/>
      <c r="W29" s="18"/>
      <c r="X29" s="18"/>
      <c r="Y29" s="18"/>
      <c r="Z29" s="18"/>
    </row>
    <row r="30" spans="1:26" ht="28.5" customHeight="1" x14ac:dyDescent="0.25">
      <c r="A30" s="11" t="s">
        <v>1298</v>
      </c>
      <c r="B30" s="11" t="s">
        <v>1299</v>
      </c>
      <c r="C30" s="11" t="s">
        <v>113</v>
      </c>
      <c r="D30" s="51">
        <v>121</v>
      </c>
      <c r="E30" s="51">
        <v>7</v>
      </c>
      <c r="F30" s="51">
        <v>68</v>
      </c>
      <c r="G30" s="51">
        <v>57</v>
      </c>
      <c r="H30" s="51">
        <v>245</v>
      </c>
      <c r="I30" s="51">
        <v>252</v>
      </c>
      <c r="J30" s="51">
        <v>116</v>
      </c>
      <c r="K30" s="51">
        <v>9</v>
      </c>
      <c r="L30" s="51">
        <v>65</v>
      </c>
      <c r="M30" s="51">
        <v>63</v>
      </c>
      <c r="N30" s="51">
        <v>244</v>
      </c>
      <c r="O30" s="51">
        <v>253</v>
      </c>
      <c r="P30" s="25">
        <f t="shared" si="0"/>
        <v>-1</v>
      </c>
      <c r="Q30" s="51">
        <f t="shared" si="2"/>
        <v>-0.39525691699604742</v>
      </c>
      <c r="R30" s="18"/>
      <c r="S30" s="18"/>
      <c r="T30" s="18"/>
      <c r="U30" s="18"/>
      <c r="V30" s="18"/>
      <c r="W30" s="18"/>
      <c r="X30" s="18"/>
      <c r="Y30" s="18"/>
      <c r="Z30" s="18"/>
    </row>
    <row r="31" spans="1:26" ht="28.5" customHeight="1" x14ac:dyDescent="0.25">
      <c r="A31" s="11" t="s">
        <v>1300</v>
      </c>
      <c r="B31" s="11" t="s">
        <v>1301</v>
      </c>
      <c r="C31" s="32" t="s">
        <v>89</v>
      </c>
      <c r="D31" s="51">
        <v>10</v>
      </c>
      <c r="E31" s="51">
        <v>22</v>
      </c>
      <c r="F31" s="51">
        <v>164</v>
      </c>
      <c r="G31" s="51">
        <v>26</v>
      </c>
      <c r="H31" s="51">
        <v>200</v>
      </c>
      <c r="I31" s="51">
        <v>222</v>
      </c>
      <c r="J31" s="51">
        <v>12</v>
      </c>
      <c r="K31" s="51">
        <v>27</v>
      </c>
      <c r="L31" s="51">
        <v>167</v>
      </c>
      <c r="M31" s="51">
        <v>46</v>
      </c>
      <c r="N31" s="51">
        <v>225</v>
      </c>
      <c r="O31" s="51">
        <v>251</v>
      </c>
      <c r="P31" s="25">
        <f t="shared" si="0"/>
        <v>-29</v>
      </c>
      <c r="Q31" s="51">
        <f t="shared" si="2"/>
        <v>-11.553784860557768</v>
      </c>
      <c r="R31" s="18"/>
      <c r="S31" s="18"/>
      <c r="T31" s="18"/>
      <c r="U31" s="18"/>
      <c r="V31" s="18"/>
      <c r="W31" s="18"/>
      <c r="X31" s="18"/>
      <c r="Y31" s="18"/>
      <c r="Z31" s="18"/>
    </row>
    <row r="32" spans="1:26" ht="28.5" customHeight="1" x14ac:dyDescent="0.25">
      <c r="A32" s="11" t="s">
        <v>1302</v>
      </c>
      <c r="B32" s="11" t="s">
        <v>1303</v>
      </c>
      <c r="C32" s="32" t="s">
        <v>89</v>
      </c>
      <c r="D32" s="51">
        <v>77</v>
      </c>
      <c r="E32" s="51">
        <v>0</v>
      </c>
      <c r="F32" s="51">
        <v>133</v>
      </c>
      <c r="G32" s="51">
        <v>1</v>
      </c>
      <c r="H32" s="51">
        <v>211</v>
      </c>
      <c r="I32" s="51">
        <v>212</v>
      </c>
      <c r="J32" s="51">
        <v>60</v>
      </c>
      <c r="K32" s="51">
        <v>1</v>
      </c>
      <c r="L32" s="51">
        <v>47</v>
      </c>
      <c r="M32" s="51">
        <v>0</v>
      </c>
      <c r="N32" s="51">
        <v>107</v>
      </c>
      <c r="O32" s="51">
        <v>108</v>
      </c>
      <c r="P32" s="25">
        <f t="shared" si="0"/>
        <v>104</v>
      </c>
      <c r="Q32" s="51">
        <f t="shared" si="2"/>
        <v>96.296296296296291</v>
      </c>
      <c r="R32" s="18"/>
      <c r="S32" s="18"/>
      <c r="T32" s="18"/>
      <c r="U32" s="18"/>
      <c r="V32" s="18"/>
      <c r="W32" s="18"/>
      <c r="X32" s="18"/>
      <c r="Y32" s="18"/>
      <c r="Z32" s="18"/>
    </row>
    <row r="33" spans="1:26" ht="28.5" customHeight="1" x14ac:dyDescent="0.25">
      <c r="A33" s="51" t="s">
        <v>1304</v>
      </c>
      <c r="B33" s="11"/>
      <c r="C33" s="11"/>
      <c r="D33" s="51">
        <v>206</v>
      </c>
      <c r="E33" s="51">
        <v>400</v>
      </c>
      <c r="F33" s="51">
        <v>287</v>
      </c>
      <c r="G33" s="51">
        <v>33</v>
      </c>
      <c r="H33" s="51">
        <v>526</v>
      </c>
      <c r="I33" s="51">
        <v>926</v>
      </c>
      <c r="J33" s="51">
        <v>162</v>
      </c>
      <c r="K33" s="51">
        <v>437</v>
      </c>
      <c r="L33" s="51">
        <v>194</v>
      </c>
      <c r="M33" s="51">
        <v>17</v>
      </c>
      <c r="N33" s="51">
        <v>374</v>
      </c>
      <c r="O33" s="51">
        <v>810</v>
      </c>
      <c r="P33" s="25">
        <f t="shared" si="0"/>
        <v>116</v>
      </c>
      <c r="Q33" s="51">
        <f t="shared" si="2"/>
        <v>14.320987654320987</v>
      </c>
      <c r="R33" s="52"/>
      <c r="S33" s="52"/>
      <c r="T33" s="52"/>
      <c r="U33" s="52"/>
      <c r="V33" s="52"/>
      <c r="W33" s="52"/>
      <c r="X33" s="52"/>
      <c r="Y33" s="52"/>
      <c r="Z33" s="52"/>
    </row>
    <row r="34" spans="1:26" ht="28.5" customHeight="1" x14ac:dyDescent="0.25">
      <c r="A34" s="11" t="s">
        <v>1305</v>
      </c>
      <c r="B34" s="11"/>
      <c r="C34" s="11"/>
      <c r="D34" s="51">
        <v>239</v>
      </c>
      <c r="E34" s="51">
        <v>441</v>
      </c>
      <c r="F34" s="51">
        <v>674</v>
      </c>
      <c r="G34" s="51">
        <v>100</v>
      </c>
      <c r="H34" s="51">
        <v>1013</v>
      </c>
      <c r="I34" s="51">
        <v>1455</v>
      </c>
      <c r="J34" s="51">
        <v>242</v>
      </c>
      <c r="K34" s="51">
        <v>488</v>
      </c>
      <c r="L34" s="51">
        <v>747</v>
      </c>
      <c r="M34" s="51">
        <v>113</v>
      </c>
      <c r="N34" s="51">
        <v>1104</v>
      </c>
      <c r="O34" s="51">
        <v>1592</v>
      </c>
      <c r="P34" s="25">
        <f t="shared" si="0"/>
        <v>-137</v>
      </c>
      <c r="Q34" s="51">
        <f t="shared" si="2"/>
        <v>-8.6055276381909547</v>
      </c>
      <c r="R34" s="18"/>
      <c r="S34" s="18"/>
      <c r="T34" s="18"/>
      <c r="U34" s="18"/>
      <c r="V34" s="18"/>
      <c r="W34" s="18"/>
      <c r="X34" s="18"/>
      <c r="Y34" s="18"/>
      <c r="Z34" s="18"/>
    </row>
    <row r="35" spans="1:26" ht="28.5" customHeight="1" x14ac:dyDescent="0.25">
      <c r="A35" s="11" t="s">
        <v>1306</v>
      </c>
      <c r="B35" s="11"/>
      <c r="C35" s="11"/>
      <c r="D35" s="51">
        <v>162</v>
      </c>
      <c r="E35" s="51">
        <v>1581</v>
      </c>
      <c r="F35" s="51">
        <v>478</v>
      </c>
      <c r="G35" s="51">
        <v>280</v>
      </c>
      <c r="H35" s="51">
        <v>921</v>
      </c>
      <c r="I35" s="51">
        <v>2502</v>
      </c>
      <c r="J35" s="51">
        <v>165</v>
      </c>
      <c r="K35" s="51">
        <v>1368</v>
      </c>
      <c r="L35" s="51">
        <v>497</v>
      </c>
      <c r="M35" s="51">
        <v>251</v>
      </c>
      <c r="N35" s="51">
        <v>913</v>
      </c>
      <c r="O35" s="51">
        <v>2281</v>
      </c>
      <c r="P35" s="25">
        <f t="shared" si="0"/>
        <v>221</v>
      </c>
      <c r="Q35" s="51">
        <f t="shared" si="2"/>
        <v>9.6887330118369146</v>
      </c>
      <c r="R35" s="18"/>
      <c r="S35" s="18"/>
      <c r="T35" s="18"/>
      <c r="U35" s="18"/>
      <c r="V35" s="18"/>
      <c r="W35" s="18"/>
      <c r="X35" s="18"/>
      <c r="Y35" s="18"/>
      <c r="Z35" s="18"/>
    </row>
    <row r="36" spans="1:26" ht="28.5" customHeight="1" x14ac:dyDescent="0.25">
      <c r="A36" s="26" t="s">
        <v>1307</v>
      </c>
      <c r="B36" s="26"/>
      <c r="C36" s="26"/>
      <c r="D36" s="19">
        <v>943</v>
      </c>
      <c r="E36" s="19">
        <v>3362</v>
      </c>
      <c r="F36" s="19">
        <v>2950</v>
      </c>
      <c r="G36" s="19">
        <v>706</v>
      </c>
      <c r="H36" s="19">
        <v>4599</v>
      </c>
      <c r="I36" s="19">
        <v>7961</v>
      </c>
      <c r="J36" s="19">
        <v>897</v>
      </c>
      <c r="K36" s="19">
        <v>3081</v>
      </c>
      <c r="L36" s="19">
        <v>3036</v>
      </c>
      <c r="M36" s="19">
        <v>758</v>
      </c>
      <c r="N36" s="19">
        <v>4691</v>
      </c>
      <c r="O36" s="19">
        <v>7772</v>
      </c>
      <c r="P36" s="22">
        <f t="shared" si="0"/>
        <v>189</v>
      </c>
      <c r="Q36" s="19">
        <f t="shared" si="2"/>
        <v>2.4318064848172929</v>
      </c>
      <c r="R36" s="18"/>
      <c r="S36" s="18"/>
      <c r="T36" s="18"/>
      <c r="U36" s="18"/>
      <c r="V36" s="18"/>
      <c r="W36" s="18"/>
      <c r="X36" s="18"/>
      <c r="Y36" s="18"/>
      <c r="Z36" s="18"/>
    </row>
    <row r="37" spans="1:26" ht="28.5" customHeight="1" x14ac:dyDescent="0.25">
      <c r="A37" s="11" t="s">
        <v>1308</v>
      </c>
      <c r="B37" s="11" t="s">
        <v>1309</v>
      </c>
      <c r="C37" s="11" t="s">
        <v>239</v>
      </c>
      <c r="D37" s="51">
        <v>830</v>
      </c>
      <c r="E37" s="51">
        <v>2930</v>
      </c>
      <c r="F37" s="51">
        <v>1649</v>
      </c>
      <c r="G37" s="51">
        <v>441</v>
      </c>
      <c r="H37" s="51">
        <v>2920</v>
      </c>
      <c r="I37" s="51">
        <v>5850</v>
      </c>
      <c r="J37" s="51">
        <v>650</v>
      </c>
      <c r="K37" s="51">
        <v>3209</v>
      </c>
      <c r="L37" s="51">
        <v>1611</v>
      </c>
      <c r="M37" s="51">
        <v>377</v>
      </c>
      <c r="N37" s="51">
        <v>2638</v>
      </c>
      <c r="O37" s="51">
        <v>5847</v>
      </c>
      <c r="P37" s="25">
        <f t="shared" si="0"/>
        <v>3</v>
      </c>
      <c r="Q37" s="51">
        <f t="shared" si="2"/>
        <v>5.1308363263211899E-2</v>
      </c>
      <c r="R37" s="18"/>
      <c r="S37" s="18"/>
      <c r="T37" s="18"/>
      <c r="U37" s="18"/>
      <c r="V37" s="18"/>
      <c r="W37" s="18"/>
      <c r="X37" s="18"/>
      <c r="Y37" s="18"/>
      <c r="Z37" s="18"/>
    </row>
    <row r="38" spans="1:26" ht="28.5" customHeight="1" x14ac:dyDescent="0.25">
      <c r="A38" s="11" t="s">
        <v>1310</v>
      </c>
      <c r="B38" s="11" t="s">
        <v>1311</v>
      </c>
      <c r="C38" s="11" t="s">
        <v>239</v>
      </c>
      <c r="D38" s="51">
        <v>131</v>
      </c>
      <c r="E38" s="51">
        <v>0</v>
      </c>
      <c r="F38" s="51">
        <v>74</v>
      </c>
      <c r="G38" s="51">
        <v>16</v>
      </c>
      <c r="H38" s="51">
        <v>221</v>
      </c>
      <c r="I38" s="51">
        <v>221</v>
      </c>
      <c r="J38" s="51">
        <v>129</v>
      </c>
      <c r="K38" s="51">
        <v>0</v>
      </c>
      <c r="L38" s="51">
        <v>80</v>
      </c>
      <c r="M38" s="51">
        <v>21</v>
      </c>
      <c r="N38" s="51">
        <v>230</v>
      </c>
      <c r="O38" s="51">
        <v>230</v>
      </c>
      <c r="P38" s="25">
        <f t="shared" si="0"/>
        <v>-9</v>
      </c>
      <c r="Q38" s="51">
        <f t="shared" si="2"/>
        <v>-3.9130434782608701</v>
      </c>
      <c r="R38" s="18"/>
      <c r="S38" s="18"/>
      <c r="T38" s="18"/>
      <c r="U38" s="18"/>
      <c r="V38" s="18"/>
      <c r="W38" s="18"/>
      <c r="X38" s="18"/>
      <c r="Y38" s="18"/>
      <c r="Z38" s="18"/>
    </row>
    <row r="39" spans="1:26" ht="28.5" customHeight="1" x14ac:dyDescent="0.25">
      <c r="A39" s="11" t="s">
        <v>1312</v>
      </c>
      <c r="B39" s="11" t="s">
        <v>1313</v>
      </c>
      <c r="C39" s="11" t="s">
        <v>239</v>
      </c>
      <c r="D39" s="51">
        <v>166</v>
      </c>
      <c r="E39" s="51">
        <v>0</v>
      </c>
      <c r="F39" s="51">
        <v>30</v>
      </c>
      <c r="G39" s="51">
        <v>0</v>
      </c>
      <c r="H39" s="51">
        <v>196</v>
      </c>
      <c r="I39" s="51">
        <v>196</v>
      </c>
      <c r="J39" s="51">
        <v>190</v>
      </c>
      <c r="K39" s="51">
        <v>0</v>
      </c>
      <c r="L39" s="51">
        <v>29</v>
      </c>
      <c r="M39" s="51">
        <v>0</v>
      </c>
      <c r="N39" s="51">
        <v>220</v>
      </c>
      <c r="O39" s="51">
        <v>220</v>
      </c>
      <c r="P39" s="25">
        <f t="shared" si="0"/>
        <v>-24</v>
      </c>
      <c r="Q39" s="51">
        <f t="shared" si="2"/>
        <v>-10.909090909090908</v>
      </c>
      <c r="R39" s="18"/>
      <c r="S39" s="18"/>
      <c r="T39" s="18"/>
      <c r="U39" s="18"/>
      <c r="V39" s="18"/>
      <c r="W39" s="18"/>
      <c r="X39" s="18"/>
      <c r="Y39" s="18"/>
      <c r="Z39" s="18"/>
    </row>
    <row r="40" spans="1:26" ht="28.5" customHeight="1" x14ac:dyDescent="0.25">
      <c r="A40" s="11" t="s">
        <v>1314</v>
      </c>
      <c r="B40" s="71" t="s">
        <v>1315</v>
      </c>
      <c r="C40" s="11" t="s">
        <v>239</v>
      </c>
      <c r="D40" s="51">
        <v>0</v>
      </c>
      <c r="E40" s="51">
        <v>154</v>
      </c>
      <c r="F40" s="51">
        <v>0</v>
      </c>
      <c r="G40" s="51">
        <v>0</v>
      </c>
      <c r="H40" s="51">
        <v>0</v>
      </c>
      <c r="I40" s="51">
        <v>154</v>
      </c>
      <c r="J40" s="51">
        <v>0</v>
      </c>
      <c r="K40" s="51">
        <v>0</v>
      </c>
      <c r="L40" s="51">
        <v>0</v>
      </c>
      <c r="M40" s="51">
        <v>0</v>
      </c>
      <c r="N40" s="51">
        <v>0</v>
      </c>
      <c r="O40" s="51">
        <v>0</v>
      </c>
      <c r="P40" s="25">
        <f t="shared" si="0"/>
        <v>154</v>
      </c>
      <c r="Q40" s="51" t="s">
        <v>67</v>
      </c>
      <c r="R40" s="18"/>
      <c r="S40" s="18"/>
      <c r="T40" s="18"/>
      <c r="U40" s="18"/>
      <c r="V40" s="18"/>
      <c r="W40" s="18"/>
      <c r="X40" s="18"/>
      <c r="Y40" s="18"/>
      <c r="Z40" s="18"/>
    </row>
    <row r="41" spans="1:26" ht="28.5" customHeight="1" x14ac:dyDescent="0.25">
      <c r="A41" s="11" t="s">
        <v>1316</v>
      </c>
      <c r="B41" s="11"/>
      <c r="C41" s="11" t="s">
        <v>239</v>
      </c>
      <c r="D41" s="51">
        <v>48</v>
      </c>
      <c r="E41" s="51">
        <v>96</v>
      </c>
      <c r="F41" s="51">
        <v>5</v>
      </c>
      <c r="G41" s="51">
        <v>4</v>
      </c>
      <c r="H41" s="51">
        <v>58</v>
      </c>
      <c r="I41" s="51">
        <v>154</v>
      </c>
      <c r="J41" s="51">
        <v>73</v>
      </c>
      <c r="K41" s="51">
        <v>122</v>
      </c>
      <c r="L41" s="51">
        <v>7</v>
      </c>
      <c r="M41" s="51">
        <v>6</v>
      </c>
      <c r="N41" s="51">
        <v>86</v>
      </c>
      <c r="O41" s="51">
        <v>73</v>
      </c>
      <c r="P41" s="25">
        <f t="shared" si="0"/>
        <v>81</v>
      </c>
      <c r="Q41" s="51">
        <f t="shared" ref="Q41:Q60" si="3">(P41/O41)*100</f>
        <v>110.95890410958904</v>
      </c>
      <c r="R41" s="18"/>
      <c r="S41" s="18"/>
      <c r="T41" s="18"/>
      <c r="U41" s="18"/>
      <c r="V41" s="18"/>
      <c r="W41" s="18"/>
      <c r="X41" s="18"/>
      <c r="Y41" s="18"/>
      <c r="Z41" s="18"/>
    </row>
    <row r="42" spans="1:26" ht="28.5" customHeight="1" x14ac:dyDescent="0.25">
      <c r="A42" s="26" t="s">
        <v>277</v>
      </c>
      <c r="B42" s="26"/>
      <c r="C42" s="147" t="s">
        <v>239</v>
      </c>
      <c r="D42" s="19">
        <v>1176</v>
      </c>
      <c r="E42" s="19">
        <v>3180</v>
      </c>
      <c r="F42" s="19">
        <v>1759</v>
      </c>
      <c r="G42" s="19">
        <v>461</v>
      </c>
      <c r="H42" s="19">
        <v>3395</v>
      </c>
      <c r="I42" s="19">
        <v>6575</v>
      </c>
      <c r="J42" s="19">
        <v>1041</v>
      </c>
      <c r="K42" s="19">
        <v>3331</v>
      </c>
      <c r="L42" s="19">
        <v>1728</v>
      </c>
      <c r="M42" s="19">
        <v>403</v>
      </c>
      <c r="N42" s="19">
        <v>3173</v>
      </c>
      <c r="O42" s="19">
        <v>6504</v>
      </c>
      <c r="P42" s="22">
        <f t="shared" si="0"/>
        <v>71</v>
      </c>
      <c r="Q42" s="19">
        <f t="shared" si="3"/>
        <v>1.0916359163591636</v>
      </c>
      <c r="R42" s="18"/>
      <c r="S42" s="18"/>
      <c r="T42" s="18"/>
      <c r="U42" s="18"/>
      <c r="V42" s="18"/>
      <c r="W42" s="18"/>
      <c r="X42" s="18"/>
      <c r="Y42" s="18"/>
      <c r="Z42" s="18"/>
    </row>
    <row r="43" spans="1:26" ht="28.5" customHeight="1" x14ac:dyDescent="0.25">
      <c r="A43" s="11" t="s">
        <v>1317</v>
      </c>
      <c r="B43" s="11" t="s">
        <v>1318</v>
      </c>
      <c r="C43" s="11" t="s">
        <v>43</v>
      </c>
      <c r="D43" s="51">
        <v>284</v>
      </c>
      <c r="E43" s="51">
        <v>1706</v>
      </c>
      <c r="F43" s="51">
        <v>188</v>
      </c>
      <c r="G43" s="51">
        <v>259</v>
      </c>
      <c r="H43" s="51">
        <v>731</v>
      </c>
      <c r="I43" s="51">
        <v>2437</v>
      </c>
      <c r="J43" s="51">
        <v>241</v>
      </c>
      <c r="K43" s="51">
        <v>1636</v>
      </c>
      <c r="L43" s="51">
        <v>154</v>
      </c>
      <c r="M43" s="51">
        <v>211</v>
      </c>
      <c r="N43" s="51">
        <v>606</v>
      </c>
      <c r="O43" s="51">
        <v>2242</v>
      </c>
      <c r="P43" s="25">
        <f t="shared" si="0"/>
        <v>195</v>
      </c>
      <c r="Q43" s="51">
        <f t="shared" si="3"/>
        <v>8.6975914362176621</v>
      </c>
      <c r="R43" s="18"/>
      <c r="S43" s="18"/>
      <c r="T43" s="18"/>
      <c r="U43" s="18"/>
      <c r="V43" s="18"/>
      <c r="W43" s="18"/>
      <c r="X43" s="18"/>
      <c r="Y43" s="18"/>
      <c r="Z43" s="18"/>
    </row>
    <row r="44" spans="1:26" ht="28.5" customHeight="1" x14ac:dyDescent="0.25">
      <c r="A44" s="11" t="s">
        <v>136</v>
      </c>
      <c r="B44" s="11" t="s">
        <v>137</v>
      </c>
      <c r="C44" s="11" t="s">
        <v>43</v>
      </c>
      <c r="D44" s="51">
        <v>628</v>
      </c>
      <c r="E44" s="51">
        <v>0</v>
      </c>
      <c r="F44" s="51">
        <v>463</v>
      </c>
      <c r="G44" s="51">
        <v>258</v>
      </c>
      <c r="H44" s="51">
        <v>1350</v>
      </c>
      <c r="I44" s="51">
        <v>1350</v>
      </c>
      <c r="J44" s="51">
        <v>828</v>
      </c>
      <c r="K44" s="51">
        <v>0</v>
      </c>
      <c r="L44" s="51">
        <v>539</v>
      </c>
      <c r="M44" s="51">
        <v>332</v>
      </c>
      <c r="N44" s="51">
        <v>1699</v>
      </c>
      <c r="O44" s="51">
        <v>1699</v>
      </c>
      <c r="P44" s="25">
        <f t="shared" si="0"/>
        <v>-349</v>
      </c>
      <c r="Q44" s="51">
        <f t="shared" si="3"/>
        <v>-20.541494997057093</v>
      </c>
      <c r="R44" s="18"/>
      <c r="S44" s="18"/>
      <c r="T44" s="18"/>
      <c r="U44" s="18"/>
      <c r="V44" s="18"/>
      <c r="W44" s="18"/>
      <c r="X44" s="18"/>
      <c r="Y44" s="18"/>
      <c r="Z44" s="18"/>
    </row>
    <row r="45" spans="1:26" ht="28.5" customHeight="1" x14ac:dyDescent="0.25">
      <c r="A45" s="51" t="s">
        <v>1319</v>
      </c>
      <c r="B45" s="25" t="s">
        <v>1007</v>
      </c>
      <c r="C45" s="51" t="s">
        <v>43</v>
      </c>
      <c r="D45" s="51">
        <v>237</v>
      </c>
      <c r="E45" s="51">
        <v>341</v>
      </c>
      <c r="F45" s="51">
        <v>23</v>
      </c>
      <c r="G45" s="51">
        <v>58</v>
      </c>
      <c r="H45" s="51">
        <v>318</v>
      </c>
      <c r="I45" s="51">
        <v>659</v>
      </c>
      <c r="J45" s="51">
        <v>273</v>
      </c>
      <c r="K45" s="51">
        <v>300</v>
      </c>
      <c r="L45" s="51">
        <v>21</v>
      </c>
      <c r="M45" s="51">
        <v>32</v>
      </c>
      <c r="N45" s="51">
        <v>325</v>
      </c>
      <c r="O45" s="51">
        <v>625</v>
      </c>
      <c r="P45" s="25">
        <f t="shared" si="0"/>
        <v>34</v>
      </c>
      <c r="Q45" s="51">
        <f t="shared" si="3"/>
        <v>5.4399999999999995</v>
      </c>
      <c r="R45" s="52"/>
      <c r="S45" s="52"/>
      <c r="T45" s="52"/>
      <c r="U45" s="52"/>
      <c r="V45" s="52"/>
      <c r="W45" s="52"/>
      <c r="X45" s="52"/>
      <c r="Y45" s="52"/>
      <c r="Z45" s="52"/>
    </row>
    <row r="46" spans="1:26" ht="28.5" customHeight="1" x14ac:dyDescent="0.25">
      <c r="A46" s="11" t="s">
        <v>1320</v>
      </c>
      <c r="B46" s="11"/>
      <c r="C46" s="51" t="s">
        <v>43</v>
      </c>
      <c r="D46" s="51">
        <v>-35</v>
      </c>
      <c r="E46" s="51">
        <v>115</v>
      </c>
      <c r="F46" s="51">
        <v>1</v>
      </c>
      <c r="G46" s="51">
        <v>39</v>
      </c>
      <c r="H46" s="51">
        <v>6</v>
      </c>
      <c r="I46" s="51">
        <v>121</v>
      </c>
      <c r="J46" s="51">
        <v>-19</v>
      </c>
      <c r="K46" s="51">
        <v>142</v>
      </c>
      <c r="L46" s="51">
        <v>0</v>
      </c>
      <c r="M46" s="51">
        <v>44</v>
      </c>
      <c r="N46" s="51">
        <v>25</v>
      </c>
      <c r="O46" s="51">
        <v>29</v>
      </c>
      <c r="P46" s="25">
        <f t="shared" si="0"/>
        <v>92</v>
      </c>
      <c r="Q46" s="51">
        <f t="shared" si="3"/>
        <v>317.24137931034483</v>
      </c>
      <c r="R46" s="18"/>
      <c r="S46" s="18"/>
      <c r="T46" s="18"/>
      <c r="U46" s="18"/>
      <c r="V46" s="18"/>
      <c r="W46" s="18"/>
      <c r="X46" s="18"/>
      <c r="Y46" s="18"/>
      <c r="Z46" s="18"/>
    </row>
    <row r="47" spans="1:26" ht="28.5" customHeight="1" x14ac:dyDescent="0.25">
      <c r="A47" s="26" t="s">
        <v>1321</v>
      </c>
      <c r="B47" s="26"/>
      <c r="C47" s="147" t="s">
        <v>43</v>
      </c>
      <c r="D47" s="19">
        <v>1114</v>
      </c>
      <c r="E47" s="19">
        <v>2162</v>
      </c>
      <c r="F47" s="19">
        <v>676</v>
      </c>
      <c r="G47" s="19">
        <v>615</v>
      </c>
      <c r="H47" s="19">
        <v>2405</v>
      </c>
      <c r="I47" s="19">
        <v>4567</v>
      </c>
      <c r="J47" s="19">
        <v>1323</v>
      </c>
      <c r="K47" s="19">
        <v>2077</v>
      </c>
      <c r="L47" s="19">
        <v>714</v>
      </c>
      <c r="M47" s="19">
        <v>618</v>
      </c>
      <c r="N47" s="19">
        <v>2655</v>
      </c>
      <c r="O47" s="19">
        <v>4733</v>
      </c>
      <c r="P47" s="22">
        <f t="shared" si="0"/>
        <v>-166</v>
      </c>
      <c r="Q47" s="19">
        <f t="shared" si="3"/>
        <v>-3.5072892457215294</v>
      </c>
      <c r="R47" s="18"/>
      <c r="S47" s="18"/>
      <c r="T47" s="18"/>
      <c r="U47" s="18"/>
      <c r="V47" s="18"/>
      <c r="W47" s="18"/>
      <c r="X47" s="18"/>
      <c r="Y47" s="18"/>
      <c r="Z47" s="18"/>
    </row>
    <row r="48" spans="1:26" ht="28.5" customHeight="1" x14ac:dyDescent="0.25">
      <c r="A48" s="11" t="s">
        <v>1322</v>
      </c>
      <c r="B48" s="11" t="s">
        <v>1323</v>
      </c>
      <c r="C48" s="11" t="s">
        <v>92</v>
      </c>
      <c r="D48" s="51">
        <v>324</v>
      </c>
      <c r="E48" s="51">
        <v>613</v>
      </c>
      <c r="F48" s="51">
        <v>39</v>
      </c>
      <c r="G48" s="51">
        <v>312</v>
      </c>
      <c r="H48" s="51">
        <v>675</v>
      </c>
      <c r="I48" s="51">
        <v>1288</v>
      </c>
      <c r="J48" s="51">
        <v>152</v>
      </c>
      <c r="K48" s="51">
        <v>191</v>
      </c>
      <c r="L48" s="51">
        <v>21</v>
      </c>
      <c r="M48" s="51">
        <v>109</v>
      </c>
      <c r="N48" s="51">
        <v>282</v>
      </c>
      <c r="O48" s="51">
        <v>473</v>
      </c>
      <c r="P48" s="25">
        <f t="shared" si="0"/>
        <v>815</v>
      </c>
      <c r="Q48" s="51">
        <f t="shared" si="3"/>
        <v>172.3044397463002</v>
      </c>
      <c r="R48" s="18"/>
      <c r="S48" s="18"/>
      <c r="T48" s="18"/>
      <c r="U48" s="18"/>
      <c r="V48" s="18"/>
      <c r="W48" s="18"/>
      <c r="X48" s="18"/>
      <c r="Y48" s="18"/>
      <c r="Z48" s="18"/>
    </row>
    <row r="49" spans="1:26" ht="28.5" customHeight="1" x14ac:dyDescent="0.25">
      <c r="A49" s="11" t="s">
        <v>1324</v>
      </c>
      <c r="B49" s="11" t="s">
        <v>1325</v>
      </c>
      <c r="C49" s="11" t="s">
        <v>92</v>
      </c>
      <c r="D49" s="51">
        <v>77</v>
      </c>
      <c r="E49" s="51">
        <v>239</v>
      </c>
      <c r="F49" s="51">
        <v>76</v>
      </c>
      <c r="G49" s="51">
        <v>62</v>
      </c>
      <c r="H49" s="51">
        <v>215</v>
      </c>
      <c r="I49" s="51">
        <v>454</v>
      </c>
      <c r="J49" s="51">
        <v>98</v>
      </c>
      <c r="K49" s="51">
        <v>242</v>
      </c>
      <c r="L49" s="51">
        <v>76</v>
      </c>
      <c r="M49" s="51">
        <v>72</v>
      </c>
      <c r="N49" s="51">
        <v>246</v>
      </c>
      <c r="O49" s="51">
        <v>488</v>
      </c>
      <c r="P49" s="25">
        <f t="shared" si="0"/>
        <v>-34</v>
      </c>
      <c r="Q49" s="51">
        <f t="shared" si="3"/>
        <v>-6.9672131147540979</v>
      </c>
      <c r="R49" s="18"/>
      <c r="S49" s="18"/>
      <c r="T49" s="18"/>
      <c r="U49" s="18"/>
      <c r="V49" s="18"/>
      <c r="W49" s="18"/>
      <c r="X49" s="18"/>
      <c r="Y49" s="18"/>
      <c r="Z49" s="18"/>
    </row>
    <row r="50" spans="1:26" ht="28.5" customHeight="1" x14ac:dyDescent="0.25">
      <c r="A50" s="11" t="s">
        <v>1326</v>
      </c>
      <c r="B50" s="11" t="s">
        <v>1327</v>
      </c>
      <c r="C50" s="11" t="s">
        <v>92</v>
      </c>
      <c r="D50" s="51">
        <v>129</v>
      </c>
      <c r="E50" s="51">
        <v>128</v>
      </c>
      <c r="F50" s="51">
        <v>67</v>
      </c>
      <c r="G50" s="51">
        <v>103</v>
      </c>
      <c r="H50" s="51">
        <v>299</v>
      </c>
      <c r="I50" s="51">
        <v>427</v>
      </c>
      <c r="J50" s="51">
        <v>156</v>
      </c>
      <c r="K50" s="51">
        <v>93</v>
      </c>
      <c r="L50" s="51">
        <v>96</v>
      </c>
      <c r="M50" s="51">
        <v>153</v>
      </c>
      <c r="N50" s="51">
        <v>405</v>
      </c>
      <c r="O50" s="51">
        <v>498</v>
      </c>
      <c r="P50" s="25">
        <f t="shared" si="0"/>
        <v>-71</v>
      </c>
      <c r="Q50" s="51">
        <f t="shared" si="3"/>
        <v>-14.257028112449799</v>
      </c>
      <c r="R50" s="18"/>
      <c r="S50" s="18"/>
      <c r="T50" s="18"/>
      <c r="U50" s="18"/>
      <c r="V50" s="18"/>
      <c r="W50" s="18"/>
      <c r="X50" s="18"/>
      <c r="Y50" s="18"/>
      <c r="Z50" s="18"/>
    </row>
    <row r="51" spans="1:26" ht="28.5" customHeight="1" x14ac:dyDescent="0.25">
      <c r="A51" s="11" t="s">
        <v>1328</v>
      </c>
      <c r="B51" s="11" t="s">
        <v>322</v>
      </c>
      <c r="C51" s="11" t="s">
        <v>92</v>
      </c>
      <c r="D51" s="51">
        <v>158</v>
      </c>
      <c r="E51" s="51">
        <v>74</v>
      </c>
      <c r="F51" s="51">
        <v>107</v>
      </c>
      <c r="G51" s="51">
        <v>30</v>
      </c>
      <c r="H51" s="51">
        <v>295</v>
      </c>
      <c r="I51" s="51">
        <v>370</v>
      </c>
      <c r="J51" s="51">
        <v>192</v>
      </c>
      <c r="K51" s="51">
        <v>92</v>
      </c>
      <c r="L51" s="51">
        <v>102</v>
      </c>
      <c r="M51" s="51">
        <v>40</v>
      </c>
      <c r="N51" s="51">
        <v>333</v>
      </c>
      <c r="O51" s="51">
        <v>426</v>
      </c>
      <c r="P51" s="25">
        <f t="shared" si="0"/>
        <v>-56</v>
      </c>
      <c r="Q51" s="51">
        <f t="shared" si="3"/>
        <v>-13.145539906103288</v>
      </c>
      <c r="R51" s="18"/>
      <c r="S51" s="18"/>
      <c r="T51" s="18"/>
      <c r="U51" s="18"/>
      <c r="V51" s="18"/>
      <c r="W51" s="18"/>
      <c r="X51" s="18"/>
      <c r="Y51" s="18"/>
      <c r="Z51" s="18"/>
    </row>
    <row r="52" spans="1:26" ht="28.5" customHeight="1" x14ac:dyDescent="0.25">
      <c r="A52" s="11" t="s">
        <v>1329</v>
      </c>
      <c r="B52" s="11" t="s">
        <v>1330</v>
      </c>
      <c r="C52" s="11" t="s">
        <v>92</v>
      </c>
      <c r="D52" s="51">
        <v>132</v>
      </c>
      <c r="E52" s="51">
        <v>108</v>
      </c>
      <c r="F52" s="51">
        <v>15</v>
      </c>
      <c r="G52" s="51">
        <v>22</v>
      </c>
      <c r="H52" s="51">
        <v>169</v>
      </c>
      <c r="I52" s="51">
        <v>277</v>
      </c>
      <c r="J52" s="51">
        <v>125</v>
      </c>
      <c r="K52" s="51">
        <v>105</v>
      </c>
      <c r="L52" s="51">
        <v>14</v>
      </c>
      <c r="M52" s="51">
        <v>20</v>
      </c>
      <c r="N52" s="51">
        <v>159</v>
      </c>
      <c r="O52" s="51">
        <v>264</v>
      </c>
      <c r="P52" s="25">
        <f t="shared" si="0"/>
        <v>13</v>
      </c>
      <c r="Q52" s="51">
        <f t="shared" si="3"/>
        <v>4.9242424242424239</v>
      </c>
      <c r="R52" s="18"/>
      <c r="S52" s="18"/>
      <c r="T52" s="18"/>
      <c r="U52" s="18"/>
      <c r="V52" s="18"/>
      <c r="W52" s="18"/>
      <c r="X52" s="18"/>
      <c r="Y52" s="18"/>
      <c r="Z52" s="18"/>
    </row>
    <row r="53" spans="1:26" ht="28.5" customHeight="1" x14ac:dyDescent="0.25">
      <c r="A53" s="11" t="s">
        <v>1331</v>
      </c>
      <c r="B53" s="11"/>
      <c r="C53" s="11" t="s">
        <v>92</v>
      </c>
      <c r="D53" s="51">
        <v>12</v>
      </c>
      <c r="E53" s="51">
        <v>33</v>
      </c>
      <c r="F53" s="51">
        <v>55</v>
      </c>
      <c r="G53" s="51">
        <v>20</v>
      </c>
      <c r="H53" s="51">
        <v>87</v>
      </c>
      <c r="I53" s="51">
        <v>120</v>
      </c>
      <c r="J53" s="51">
        <v>16</v>
      </c>
      <c r="K53" s="51">
        <v>37</v>
      </c>
      <c r="L53" s="51">
        <v>57</v>
      </c>
      <c r="M53" s="51">
        <v>19</v>
      </c>
      <c r="N53" s="51">
        <v>92</v>
      </c>
      <c r="O53" s="51">
        <v>129</v>
      </c>
      <c r="P53" s="25">
        <f t="shared" si="0"/>
        <v>-9</v>
      </c>
      <c r="Q53" s="51">
        <f t="shared" si="3"/>
        <v>-6.9767441860465116</v>
      </c>
      <c r="R53" s="18"/>
      <c r="S53" s="18"/>
      <c r="T53" s="18"/>
      <c r="U53" s="18"/>
      <c r="V53" s="18"/>
      <c r="W53" s="18"/>
      <c r="X53" s="18"/>
      <c r="Y53" s="18"/>
      <c r="Z53" s="18"/>
    </row>
    <row r="54" spans="1:26" ht="28.5" customHeight="1" x14ac:dyDescent="0.25">
      <c r="A54" s="26" t="s">
        <v>1332</v>
      </c>
      <c r="B54" s="26"/>
      <c r="C54" s="147" t="s">
        <v>92</v>
      </c>
      <c r="D54" s="19">
        <v>833</v>
      </c>
      <c r="E54" s="19">
        <v>1196</v>
      </c>
      <c r="F54" s="19">
        <v>359</v>
      </c>
      <c r="G54" s="19">
        <v>549</v>
      </c>
      <c r="H54" s="19">
        <v>1741</v>
      </c>
      <c r="I54" s="19">
        <v>2936</v>
      </c>
      <c r="J54" s="19">
        <v>739</v>
      </c>
      <c r="K54" s="19">
        <v>760</v>
      </c>
      <c r="L54" s="19">
        <v>366</v>
      </c>
      <c r="M54" s="19">
        <v>413</v>
      </c>
      <c r="N54" s="19">
        <v>1518</v>
      </c>
      <c r="O54" s="19">
        <v>2278</v>
      </c>
      <c r="P54" s="22">
        <f t="shared" si="0"/>
        <v>658</v>
      </c>
      <c r="Q54" s="19">
        <f t="shared" si="3"/>
        <v>28.884986830553117</v>
      </c>
      <c r="R54" s="18"/>
      <c r="S54" s="18"/>
      <c r="T54" s="18"/>
      <c r="U54" s="18"/>
      <c r="V54" s="18"/>
      <c r="W54" s="18"/>
      <c r="X54" s="18"/>
      <c r="Y54" s="18"/>
      <c r="Z54" s="18"/>
    </row>
    <row r="55" spans="1:26" ht="28.5" customHeight="1" x14ac:dyDescent="0.25">
      <c r="A55" s="26" t="s">
        <v>1333</v>
      </c>
      <c r="B55" s="26"/>
      <c r="C55" s="26"/>
      <c r="D55" s="19">
        <v>0</v>
      </c>
      <c r="E55" s="19">
        <v>0</v>
      </c>
      <c r="F55" s="19">
        <v>0</v>
      </c>
      <c r="G55" s="19">
        <v>0</v>
      </c>
      <c r="H55" s="19">
        <v>0</v>
      </c>
      <c r="I55" s="19">
        <v>0</v>
      </c>
      <c r="J55" s="19">
        <v>301</v>
      </c>
      <c r="K55" s="19">
        <v>988</v>
      </c>
      <c r="L55" s="19">
        <v>594</v>
      </c>
      <c r="M55" s="19">
        <v>215</v>
      </c>
      <c r="N55" s="19">
        <v>1094</v>
      </c>
      <c r="O55" s="19">
        <v>2082</v>
      </c>
      <c r="P55" s="22">
        <f t="shared" si="0"/>
        <v>-2082</v>
      </c>
      <c r="Q55" s="19">
        <f t="shared" si="3"/>
        <v>-100</v>
      </c>
      <c r="R55" s="18"/>
      <c r="S55" s="18"/>
      <c r="T55" s="18"/>
      <c r="U55" s="18"/>
      <c r="V55" s="18"/>
      <c r="W55" s="18"/>
      <c r="X55" s="18"/>
      <c r="Y55" s="18"/>
      <c r="Z55" s="18"/>
    </row>
    <row r="56" spans="1:26" ht="28.5" customHeight="1" x14ac:dyDescent="0.25">
      <c r="A56" s="19" t="s">
        <v>1334</v>
      </c>
      <c r="B56" s="19"/>
      <c r="C56" s="19"/>
      <c r="D56" s="19">
        <v>1223</v>
      </c>
      <c r="E56" s="19">
        <v>3753</v>
      </c>
      <c r="F56" s="19">
        <v>2</v>
      </c>
      <c r="G56" s="19">
        <v>439</v>
      </c>
      <c r="H56" s="19">
        <v>1664</v>
      </c>
      <c r="I56" s="19">
        <v>5418</v>
      </c>
      <c r="J56" s="19">
        <v>1043</v>
      </c>
      <c r="K56" s="19">
        <v>3208</v>
      </c>
      <c r="L56" s="19">
        <v>2</v>
      </c>
      <c r="M56" s="19">
        <v>395</v>
      </c>
      <c r="N56" s="19">
        <v>1440</v>
      </c>
      <c r="O56" s="19">
        <v>4648</v>
      </c>
      <c r="P56" s="22">
        <f t="shared" si="0"/>
        <v>770</v>
      </c>
      <c r="Q56" s="19">
        <f t="shared" si="3"/>
        <v>16.566265060240966</v>
      </c>
      <c r="R56" s="52"/>
      <c r="S56" s="52"/>
      <c r="T56" s="52"/>
      <c r="U56" s="52"/>
      <c r="V56" s="52"/>
      <c r="W56" s="52"/>
      <c r="X56" s="52"/>
      <c r="Y56" s="52"/>
      <c r="Z56" s="52"/>
    </row>
    <row r="57" spans="1:26" ht="28.5" customHeight="1" x14ac:dyDescent="0.25">
      <c r="A57" s="19" t="s">
        <v>1335</v>
      </c>
      <c r="B57" s="19"/>
      <c r="C57" s="19"/>
      <c r="D57" s="19">
        <v>465</v>
      </c>
      <c r="E57" s="19">
        <v>899</v>
      </c>
      <c r="F57" s="19">
        <v>73</v>
      </c>
      <c r="G57" s="19">
        <v>90</v>
      </c>
      <c r="H57" s="19">
        <v>628</v>
      </c>
      <c r="I57" s="19">
        <v>1527</v>
      </c>
      <c r="J57" s="19">
        <v>395</v>
      </c>
      <c r="K57" s="19">
        <v>451</v>
      </c>
      <c r="L57" s="19">
        <v>29</v>
      </c>
      <c r="M57" s="19">
        <v>35</v>
      </c>
      <c r="N57" s="19">
        <v>460</v>
      </c>
      <c r="O57" s="19">
        <v>911</v>
      </c>
      <c r="P57" s="22">
        <f t="shared" si="0"/>
        <v>616</v>
      </c>
      <c r="Q57" s="19">
        <f t="shared" si="3"/>
        <v>67.618002195389678</v>
      </c>
      <c r="R57" s="52"/>
      <c r="S57" s="52"/>
      <c r="T57" s="52"/>
      <c r="U57" s="52"/>
      <c r="V57" s="52"/>
      <c r="W57" s="52"/>
      <c r="X57" s="52"/>
      <c r="Y57" s="52"/>
      <c r="Z57" s="52"/>
    </row>
    <row r="58" spans="1:26" ht="28.5" customHeight="1" x14ac:dyDescent="0.25">
      <c r="A58" s="19" t="s">
        <v>1336</v>
      </c>
      <c r="B58" s="26"/>
      <c r="C58" s="26"/>
      <c r="D58" s="19">
        <v>465</v>
      </c>
      <c r="E58" s="19">
        <v>2636</v>
      </c>
      <c r="F58" s="19">
        <v>1784</v>
      </c>
      <c r="G58" s="19">
        <v>430</v>
      </c>
      <c r="H58" s="19">
        <v>2679</v>
      </c>
      <c r="I58" s="19">
        <v>5315</v>
      </c>
      <c r="J58" s="19">
        <v>469</v>
      </c>
      <c r="K58" s="19">
        <v>2327</v>
      </c>
      <c r="L58" s="19">
        <v>1778</v>
      </c>
      <c r="M58" s="19">
        <v>438</v>
      </c>
      <c r="N58" s="19">
        <v>2686</v>
      </c>
      <c r="O58" s="19">
        <v>5013</v>
      </c>
      <c r="P58" s="22">
        <f t="shared" si="0"/>
        <v>302</v>
      </c>
      <c r="Q58" s="19">
        <f t="shared" si="3"/>
        <v>6.0243367245162576</v>
      </c>
      <c r="R58" s="18"/>
      <c r="S58" s="18"/>
      <c r="T58" s="18"/>
      <c r="U58" s="18"/>
      <c r="V58" s="18"/>
      <c r="W58" s="18"/>
      <c r="X58" s="18"/>
      <c r="Y58" s="18"/>
      <c r="Z58" s="18"/>
    </row>
    <row r="59" spans="1:26" ht="28.5" customHeight="1" x14ac:dyDescent="0.25">
      <c r="A59" s="26" t="s">
        <v>1337</v>
      </c>
      <c r="B59" s="26"/>
      <c r="C59" s="26"/>
      <c r="D59" s="19"/>
      <c r="E59" s="19"/>
      <c r="F59" s="19"/>
      <c r="G59" s="19"/>
      <c r="H59" s="19"/>
      <c r="I59" s="19">
        <v>41908</v>
      </c>
      <c r="J59" s="19">
        <v>7444</v>
      </c>
      <c r="K59" s="19">
        <v>19605</v>
      </c>
      <c r="L59" s="19">
        <v>8234</v>
      </c>
      <c r="M59" s="19">
        <v>4137</v>
      </c>
      <c r="N59" s="19">
        <v>19814</v>
      </c>
      <c r="O59" s="19">
        <v>39090</v>
      </c>
      <c r="P59" s="22">
        <f t="shared" si="0"/>
        <v>2818</v>
      </c>
      <c r="Q59" s="19">
        <f t="shared" si="3"/>
        <v>7.2090048605781529</v>
      </c>
      <c r="R59" s="18"/>
      <c r="S59" s="18"/>
      <c r="T59" s="18"/>
      <c r="U59" s="18"/>
      <c r="V59" s="18"/>
      <c r="W59" s="18"/>
      <c r="X59" s="18"/>
      <c r="Y59" s="18"/>
      <c r="Z59" s="18"/>
    </row>
    <row r="60" spans="1:26" ht="28.5" customHeight="1" x14ac:dyDescent="0.25">
      <c r="A60" s="19" t="s">
        <v>101</v>
      </c>
      <c r="B60" s="26"/>
      <c r="C60" s="26"/>
      <c r="D60" s="19"/>
      <c r="E60" s="19"/>
      <c r="F60" s="19"/>
      <c r="G60" s="19"/>
      <c r="H60" s="19"/>
      <c r="I60" s="19">
        <v>41908</v>
      </c>
      <c r="J60" s="19">
        <v>8701</v>
      </c>
      <c r="K60" s="19">
        <v>23852</v>
      </c>
      <c r="L60" s="19">
        <v>12733</v>
      </c>
      <c r="M60" s="19">
        <v>6465</v>
      </c>
      <c r="N60" s="19">
        <v>27898</v>
      </c>
      <c r="O60" s="19">
        <v>41172</v>
      </c>
      <c r="P60" s="22">
        <f t="shared" si="0"/>
        <v>736</v>
      </c>
      <c r="Q60" s="19">
        <f t="shared" si="3"/>
        <v>1.7876226561740989</v>
      </c>
      <c r="R60" s="18"/>
      <c r="S60" s="18"/>
      <c r="T60" s="18"/>
      <c r="U60" s="18"/>
      <c r="V60" s="18"/>
      <c r="W60" s="18"/>
      <c r="X60" s="18"/>
      <c r="Y60" s="18"/>
      <c r="Z60" s="18"/>
    </row>
  </sheetData>
  <pageMargins left="0.7" right="0.7" top="0.75" bottom="0.75" header="0" footer="0"/>
  <pageSetup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2A5DB0"/>
  </sheetPr>
  <dimension ref="A1:Z15"/>
  <sheetViews>
    <sheetView workbookViewId="0">
      <pane ySplit="1" topLeftCell="A2" activePane="bottomLeft" state="frozen"/>
      <selection pane="bottomLeft"/>
    </sheetView>
  </sheetViews>
  <sheetFormatPr defaultColWidth="14.44140625" defaultRowHeight="15.75" customHeight="1" x14ac:dyDescent="0.25"/>
  <cols>
    <col min="1" max="1" width="34.5546875" customWidth="1"/>
    <col min="2" max="2" width="18.33203125" customWidth="1"/>
    <col min="3" max="3" width="28.44140625" customWidth="1"/>
    <col min="4" max="5" width="14" customWidth="1"/>
    <col min="6" max="7" width="14.109375" customWidth="1"/>
    <col min="8" max="9" width="14" customWidth="1"/>
    <col min="10" max="26" width="8.6640625" customWidth="1"/>
  </cols>
  <sheetData>
    <row r="1" spans="1:26" ht="34.5" customHeight="1" x14ac:dyDescent="0.25">
      <c r="A1" s="46" t="s">
        <v>1792</v>
      </c>
      <c r="B1" s="47" t="s">
        <v>10</v>
      </c>
      <c r="C1" s="47" t="s">
        <v>11</v>
      </c>
      <c r="D1" s="47" t="s">
        <v>1678</v>
      </c>
      <c r="E1" s="8" t="s">
        <v>1680</v>
      </c>
      <c r="F1" s="47" t="s">
        <v>1678</v>
      </c>
      <c r="G1" s="8" t="s">
        <v>1681</v>
      </c>
      <c r="H1" s="47" t="s">
        <v>1682</v>
      </c>
      <c r="I1" s="47" t="s">
        <v>1683</v>
      </c>
      <c r="J1" s="201"/>
      <c r="K1" s="201"/>
      <c r="L1" s="201"/>
      <c r="M1" s="201"/>
      <c r="N1" s="201"/>
      <c r="O1" s="201"/>
      <c r="P1" s="201"/>
      <c r="Q1" s="201"/>
      <c r="R1" s="201"/>
      <c r="S1" s="201"/>
      <c r="T1" s="201"/>
      <c r="U1" s="201"/>
      <c r="V1" s="201"/>
      <c r="W1" s="201"/>
      <c r="X1" s="201"/>
      <c r="Y1" s="201"/>
      <c r="Z1" s="201"/>
    </row>
    <row r="2" spans="1:26" ht="28.5" customHeight="1" x14ac:dyDescent="0.25">
      <c r="A2" s="11" t="s">
        <v>317</v>
      </c>
      <c r="B2" s="11" t="s">
        <v>318</v>
      </c>
      <c r="C2" s="11" t="s">
        <v>72</v>
      </c>
      <c r="D2" s="51">
        <v>4947.2</v>
      </c>
      <c r="E2" s="51">
        <v>4947.2</v>
      </c>
      <c r="F2" s="51">
        <v>4644.2</v>
      </c>
      <c r="G2" s="51">
        <v>4644.2</v>
      </c>
      <c r="H2" s="50">
        <f t="shared" ref="H2:H14" si="0">E2-G2</f>
        <v>303</v>
      </c>
      <c r="I2" s="51">
        <f t="shared" ref="I2:I6" si="1">(H2/G2)*100</f>
        <v>6.5242668274406794</v>
      </c>
      <c r="J2" s="202"/>
      <c r="K2" s="202"/>
      <c r="L2" s="202"/>
      <c r="M2" s="202"/>
      <c r="N2" s="202"/>
      <c r="O2" s="202"/>
      <c r="P2" s="202"/>
      <c r="Q2" s="202"/>
      <c r="R2" s="202"/>
      <c r="S2" s="202"/>
      <c r="T2" s="202"/>
      <c r="U2" s="202"/>
      <c r="V2" s="202"/>
      <c r="W2" s="202"/>
      <c r="X2" s="202"/>
      <c r="Y2" s="202"/>
      <c r="Z2" s="202"/>
    </row>
    <row r="3" spans="1:26" ht="28.5" customHeight="1" x14ac:dyDescent="0.3">
      <c r="A3" s="11" t="s">
        <v>1339</v>
      </c>
      <c r="B3" s="11" t="s">
        <v>1340</v>
      </c>
      <c r="C3" s="71" t="s">
        <v>56</v>
      </c>
      <c r="D3" s="51">
        <v>3226.2</v>
      </c>
      <c r="E3" s="51">
        <v>3226.2</v>
      </c>
      <c r="F3" s="51">
        <v>1871.2</v>
      </c>
      <c r="G3" s="51">
        <v>1871.2</v>
      </c>
      <c r="H3" s="50">
        <f t="shared" si="0"/>
        <v>1354.9999999999998</v>
      </c>
      <c r="I3" s="51">
        <f t="shared" si="1"/>
        <v>72.413424540401877</v>
      </c>
      <c r="J3" s="202"/>
      <c r="K3" s="203"/>
      <c r="L3" s="203"/>
      <c r="M3" s="203"/>
      <c r="N3" s="203"/>
      <c r="O3" s="203"/>
      <c r="P3" s="203"/>
      <c r="Q3" s="203"/>
      <c r="R3" s="203"/>
      <c r="S3" s="203"/>
      <c r="T3" s="203"/>
      <c r="U3" s="203"/>
      <c r="V3" s="203"/>
      <c r="W3" s="203"/>
      <c r="X3" s="203"/>
      <c r="Y3" s="203"/>
      <c r="Z3" s="203"/>
    </row>
    <row r="4" spans="1:26" ht="28.5" customHeight="1" x14ac:dyDescent="0.3">
      <c r="A4" s="11" t="s">
        <v>1341</v>
      </c>
      <c r="B4" s="11" t="s">
        <v>1342</v>
      </c>
      <c r="C4" s="11" t="s">
        <v>49</v>
      </c>
      <c r="D4" s="51">
        <v>270.7</v>
      </c>
      <c r="E4" s="51">
        <v>270.7</v>
      </c>
      <c r="F4" s="51">
        <v>175.7</v>
      </c>
      <c r="G4" s="51">
        <v>175.7</v>
      </c>
      <c r="H4" s="50">
        <f t="shared" si="0"/>
        <v>95</v>
      </c>
      <c r="I4" s="51">
        <f t="shared" si="1"/>
        <v>54.069436539556058</v>
      </c>
      <c r="J4" s="202"/>
      <c r="K4" s="203"/>
      <c r="L4" s="203"/>
      <c r="M4" s="203"/>
      <c r="N4" s="203"/>
      <c r="O4" s="203"/>
      <c r="P4" s="203"/>
      <c r="Q4" s="203"/>
      <c r="R4" s="203"/>
      <c r="S4" s="203"/>
      <c r="T4" s="203"/>
      <c r="U4" s="203"/>
      <c r="V4" s="203"/>
      <c r="W4" s="203"/>
      <c r="X4" s="203"/>
      <c r="Y4" s="203"/>
      <c r="Z4" s="203"/>
    </row>
    <row r="5" spans="1:26" ht="28.5" customHeight="1" x14ac:dyDescent="0.25">
      <c r="A5" s="11" t="s">
        <v>1343</v>
      </c>
      <c r="B5" s="11" t="s">
        <v>1344</v>
      </c>
      <c r="C5" s="24" t="s">
        <v>1345</v>
      </c>
      <c r="D5" s="25">
        <v>186</v>
      </c>
      <c r="E5" s="25">
        <v>186</v>
      </c>
      <c r="F5" s="25">
        <v>126</v>
      </c>
      <c r="G5" s="25">
        <v>126</v>
      </c>
      <c r="H5" s="50">
        <f t="shared" si="0"/>
        <v>60</v>
      </c>
      <c r="I5" s="51">
        <f t="shared" si="1"/>
        <v>47.619047619047613</v>
      </c>
      <c r="J5" s="202"/>
      <c r="K5" s="202"/>
      <c r="L5" s="202"/>
      <c r="M5" s="202"/>
      <c r="N5" s="202"/>
      <c r="O5" s="202"/>
      <c r="P5" s="202"/>
      <c r="Q5" s="202"/>
      <c r="R5" s="202"/>
      <c r="S5" s="202"/>
      <c r="T5" s="202"/>
      <c r="U5" s="202"/>
      <c r="V5" s="202"/>
      <c r="W5" s="202"/>
      <c r="X5" s="202"/>
      <c r="Y5" s="202"/>
      <c r="Z5" s="202"/>
    </row>
    <row r="6" spans="1:26" ht="28.5" customHeight="1" x14ac:dyDescent="0.25">
      <c r="A6" s="11" t="s">
        <v>1346</v>
      </c>
      <c r="B6" s="11" t="s">
        <v>1347</v>
      </c>
      <c r="C6" s="24" t="s">
        <v>1348</v>
      </c>
      <c r="D6" s="25">
        <v>141.6</v>
      </c>
      <c r="E6" s="25">
        <v>141.6</v>
      </c>
      <c r="F6" s="25">
        <v>129</v>
      </c>
      <c r="G6" s="25">
        <v>129</v>
      </c>
      <c r="H6" s="50">
        <f t="shared" si="0"/>
        <v>12.599999999999994</v>
      </c>
      <c r="I6" s="51">
        <f t="shared" si="1"/>
        <v>9.7674418604651123</v>
      </c>
      <c r="J6" s="202"/>
      <c r="K6" s="202"/>
      <c r="L6" s="202"/>
      <c r="M6" s="202"/>
      <c r="N6" s="202"/>
      <c r="O6" s="202"/>
      <c r="P6" s="202"/>
      <c r="Q6" s="202"/>
      <c r="R6" s="202"/>
      <c r="S6" s="202"/>
      <c r="T6" s="202"/>
      <c r="U6" s="202"/>
      <c r="V6" s="202"/>
      <c r="W6" s="202"/>
      <c r="X6" s="202"/>
      <c r="Y6" s="202"/>
      <c r="Z6" s="202"/>
    </row>
    <row r="7" spans="1:26" ht="28.5" customHeight="1" x14ac:dyDescent="0.25">
      <c r="A7" s="11" t="s">
        <v>1349</v>
      </c>
      <c r="B7" s="11" t="s">
        <v>1350</v>
      </c>
      <c r="C7" s="24" t="s">
        <v>1348</v>
      </c>
      <c r="D7" s="25">
        <v>185.7</v>
      </c>
      <c r="E7" s="25">
        <v>185.7</v>
      </c>
      <c r="F7" s="25">
        <v>0</v>
      </c>
      <c r="G7" s="25">
        <v>0</v>
      </c>
      <c r="H7" s="50">
        <f t="shared" si="0"/>
        <v>185.7</v>
      </c>
      <c r="I7" s="51" t="s">
        <v>67</v>
      </c>
      <c r="J7" s="202"/>
      <c r="K7" s="202"/>
      <c r="L7" s="202"/>
      <c r="M7" s="202"/>
      <c r="N7" s="202"/>
      <c r="O7" s="202"/>
      <c r="P7" s="202"/>
      <c r="Q7" s="202"/>
      <c r="R7" s="202"/>
      <c r="S7" s="202"/>
      <c r="T7" s="202"/>
      <c r="U7" s="202"/>
      <c r="V7" s="202"/>
      <c r="W7" s="202"/>
      <c r="X7" s="202"/>
      <c r="Y7" s="202"/>
      <c r="Z7" s="202"/>
    </row>
    <row r="8" spans="1:26" ht="28.5" customHeight="1" x14ac:dyDescent="0.25">
      <c r="A8" s="11" t="s">
        <v>1351</v>
      </c>
      <c r="B8" s="11" t="s">
        <v>318</v>
      </c>
      <c r="C8" s="11" t="s">
        <v>49</v>
      </c>
      <c r="D8" s="25">
        <v>5.8</v>
      </c>
      <c r="E8" s="25">
        <v>5.8</v>
      </c>
      <c r="F8" s="25">
        <v>7.3</v>
      </c>
      <c r="G8" s="25">
        <v>7.3</v>
      </c>
      <c r="H8" s="50">
        <f t="shared" si="0"/>
        <v>-1.5</v>
      </c>
      <c r="I8" s="51">
        <f t="shared" ref="I8:I14" si="2">(H8/G8)*100</f>
        <v>-20.547945205479454</v>
      </c>
      <c r="J8" s="202"/>
      <c r="K8" s="202"/>
      <c r="L8" s="202"/>
      <c r="M8" s="202"/>
      <c r="N8" s="202"/>
      <c r="O8" s="202"/>
      <c r="P8" s="202"/>
      <c r="Q8" s="202"/>
      <c r="R8" s="202"/>
      <c r="S8" s="202"/>
      <c r="T8" s="202"/>
      <c r="U8" s="202"/>
      <c r="V8" s="202"/>
      <c r="W8" s="202"/>
      <c r="X8" s="202"/>
      <c r="Y8" s="202"/>
      <c r="Z8" s="202"/>
    </row>
    <row r="9" spans="1:26" ht="28.5" customHeight="1" x14ac:dyDescent="0.25">
      <c r="A9" s="11" t="s">
        <v>1352</v>
      </c>
      <c r="B9" s="11" t="s">
        <v>1353</v>
      </c>
      <c r="C9" s="24" t="s">
        <v>43</v>
      </c>
      <c r="D9" s="25">
        <v>13.1</v>
      </c>
      <c r="E9" s="25">
        <v>13.1</v>
      </c>
      <c r="F9" s="25">
        <v>14.5</v>
      </c>
      <c r="G9" s="25">
        <v>14.5</v>
      </c>
      <c r="H9" s="50">
        <f t="shared" si="0"/>
        <v>-1.4000000000000004</v>
      </c>
      <c r="I9" s="51">
        <f t="shared" si="2"/>
        <v>-9.6551724137931068</v>
      </c>
      <c r="J9" s="202"/>
      <c r="K9" s="202"/>
      <c r="L9" s="202"/>
      <c r="M9" s="202"/>
      <c r="N9" s="202"/>
      <c r="O9" s="202"/>
      <c r="P9" s="202"/>
      <c r="Q9" s="202"/>
      <c r="R9" s="202"/>
      <c r="S9" s="202"/>
      <c r="T9" s="202"/>
      <c r="U9" s="202"/>
      <c r="V9" s="202"/>
      <c r="W9" s="202"/>
      <c r="X9" s="202"/>
      <c r="Y9" s="202"/>
      <c r="Z9" s="202"/>
    </row>
    <row r="10" spans="1:26" ht="28.5" customHeight="1" x14ac:dyDescent="0.3">
      <c r="A10" s="78" t="s">
        <v>1354</v>
      </c>
      <c r="B10" s="78"/>
      <c r="C10" s="78"/>
      <c r="D10" s="76">
        <v>5567.6</v>
      </c>
      <c r="E10" s="76">
        <v>5567.6</v>
      </c>
      <c r="F10" s="76">
        <v>4834.3999999999996</v>
      </c>
      <c r="G10" s="76">
        <v>4834.3999999999996</v>
      </c>
      <c r="H10" s="75">
        <f t="shared" si="0"/>
        <v>733.20000000000073</v>
      </c>
      <c r="I10" s="76">
        <f t="shared" si="2"/>
        <v>15.166308125103441</v>
      </c>
      <c r="J10" s="202"/>
      <c r="K10" s="203"/>
      <c r="L10" s="203"/>
      <c r="M10" s="203"/>
      <c r="N10" s="203"/>
      <c r="O10" s="203"/>
      <c r="P10" s="203"/>
      <c r="Q10" s="203"/>
      <c r="R10" s="203"/>
      <c r="S10" s="203"/>
      <c r="T10" s="203"/>
      <c r="U10" s="203"/>
      <c r="V10" s="203"/>
      <c r="W10" s="203"/>
      <c r="X10" s="203"/>
      <c r="Y10" s="203"/>
      <c r="Z10" s="203"/>
    </row>
    <row r="11" spans="1:26" ht="28.5" customHeight="1" x14ac:dyDescent="0.3">
      <c r="A11" s="78" t="s">
        <v>1355</v>
      </c>
      <c r="B11" s="78"/>
      <c r="C11" s="78"/>
      <c r="D11" s="76"/>
      <c r="E11" s="76">
        <v>1186.4000000000001</v>
      </c>
      <c r="F11" s="76"/>
      <c r="G11" s="76">
        <v>403.6</v>
      </c>
      <c r="H11" s="75">
        <f t="shared" si="0"/>
        <v>782.80000000000007</v>
      </c>
      <c r="I11" s="76">
        <f t="shared" si="2"/>
        <v>193.95441030723489</v>
      </c>
      <c r="J11" s="202"/>
      <c r="K11" s="87"/>
      <c r="L11" s="87"/>
      <c r="M11" s="87"/>
      <c r="N11" s="87"/>
      <c r="O11" s="87"/>
      <c r="P11" s="87"/>
      <c r="Q11" s="87"/>
      <c r="R11" s="87"/>
      <c r="S11" s="87"/>
      <c r="T11" s="87"/>
      <c r="U11" s="87"/>
      <c r="V11" s="87"/>
      <c r="W11" s="87"/>
      <c r="X11" s="87"/>
      <c r="Y11" s="87"/>
      <c r="Z11" s="87"/>
    </row>
    <row r="12" spans="1:26" ht="28.5" customHeight="1" x14ac:dyDescent="0.3">
      <c r="A12" s="78" t="s">
        <v>1356</v>
      </c>
      <c r="B12" s="78"/>
      <c r="C12" s="78"/>
      <c r="D12" s="76"/>
      <c r="E12" s="76">
        <v>1186.0999999999999</v>
      </c>
      <c r="F12" s="76"/>
      <c r="G12" s="76">
        <v>1145.5999999999999</v>
      </c>
      <c r="H12" s="75">
        <f t="shared" si="0"/>
        <v>40.5</v>
      </c>
      <c r="I12" s="76">
        <f t="shared" si="2"/>
        <v>3.5352653631284916</v>
      </c>
      <c r="J12" s="202"/>
      <c r="K12" s="87"/>
      <c r="L12" s="87"/>
      <c r="M12" s="87"/>
      <c r="N12" s="87"/>
      <c r="O12" s="87"/>
      <c r="P12" s="87"/>
      <c r="Q12" s="87"/>
      <c r="R12" s="87"/>
      <c r="S12" s="87"/>
      <c r="T12" s="87"/>
      <c r="U12" s="87"/>
      <c r="V12" s="87"/>
      <c r="W12" s="87"/>
      <c r="X12" s="87"/>
      <c r="Y12" s="87"/>
      <c r="Z12" s="87"/>
    </row>
    <row r="13" spans="1:26" ht="28.5" customHeight="1" x14ac:dyDescent="0.3">
      <c r="A13" s="78" t="s">
        <v>121</v>
      </c>
      <c r="B13" s="78"/>
      <c r="C13" s="78"/>
      <c r="D13" s="76"/>
      <c r="E13" s="76">
        <v>557</v>
      </c>
      <c r="F13" s="76"/>
      <c r="G13" s="76">
        <v>174</v>
      </c>
      <c r="H13" s="75">
        <f t="shared" si="0"/>
        <v>383</v>
      </c>
      <c r="I13" s="76">
        <f t="shared" si="2"/>
        <v>220.11494252873564</v>
      </c>
      <c r="J13" s="202"/>
      <c r="K13" s="87"/>
      <c r="L13" s="87"/>
      <c r="M13" s="87"/>
      <c r="N13" s="87"/>
      <c r="O13" s="87"/>
      <c r="P13" s="87"/>
      <c r="Q13" s="87"/>
      <c r="R13" s="87"/>
      <c r="S13" s="87"/>
      <c r="T13" s="87"/>
      <c r="U13" s="87"/>
      <c r="V13" s="87"/>
      <c r="W13" s="87"/>
      <c r="X13" s="87"/>
      <c r="Y13" s="87"/>
      <c r="Z13" s="87"/>
    </row>
    <row r="14" spans="1:26" ht="28.5" customHeight="1" x14ac:dyDescent="0.3">
      <c r="A14" s="78" t="s">
        <v>248</v>
      </c>
      <c r="B14" s="78"/>
      <c r="C14" s="78"/>
      <c r="D14" s="76"/>
      <c r="E14" s="76">
        <v>8497.1</v>
      </c>
      <c r="F14" s="76"/>
      <c r="G14" s="76">
        <v>6557.6</v>
      </c>
      <c r="H14" s="75">
        <f t="shared" si="0"/>
        <v>1939.5</v>
      </c>
      <c r="I14" s="76">
        <f t="shared" si="2"/>
        <v>29.576369403440282</v>
      </c>
      <c r="J14" s="202"/>
      <c r="K14" s="87"/>
      <c r="L14" s="87"/>
      <c r="M14" s="87"/>
      <c r="N14" s="87"/>
      <c r="O14" s="87"/>
      <c r="P14" s="87"/>
      <c r="Q14" s="87"/>
      <c r="R14" s="87"/>
      <c r="S14" s="87"/>
      <c r="T14" s="87"/>
      <c r="U14" s="87"/>
      <c r="V14" s="87"/>
      <c r="W14" s="87"/>
      <c r="X14" s="87"/>
      <c r="Y14" s="87"/>
      <c r="Z14" s="87"/>
    </row>
    <row r="15" spans="1:26" ht="67.5" customHeight="1" x14ac:dyDescent="0.3">
      <c r="A15" s="204" t="s">
        <v>1793</v>
      </c>
      <c r="B15" s="205"/>
      <c r="C15" s="205"/>
      <c r="D15" s="205"/>
      <c r="E15" s="205"/>
      <c r="F15" s="205"/>
      <c r="G15" s="205"/>
      <c r="H15" s="205"/>
      <c r="I15" s="205"/>
    </row>
  </sheetData>
  <pageMargins left="0.7" right="0.7" top="0.75" bottom="0.75" header="0" footer="0"/>
  <pageSetup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2A5DB0"/>
  </sheetPr>
  <dimension ref="A1:Z45"/>
  <sheetViews>
    <sheetView workbookViewId="0">
      <pane ySplit="1" topLeftCell="A2" activePane="bottomLeft" state="frozen"/>
      <selection pane="bottomLeft"/>
    </sheetView>
  </sheetViews>
  <sheetFormatPr defaultColWidth="14.44140625" defaultRowHeight="15.75" customHeight="1" x14ac:dyDescent="0.25"/>
  <cols>
    <col min="1" max="1" width="34.5546875" customWidth="1"/>
    <col min="2" max="2" width="26.109375" customWidth="1"/>
    <col min="3" max="3" width="28.6640625" customWidth="1"/>
    <col min="4" max="4" width="24.44140625" customWidth="1"/>
    <col min="5" max="5" width="19" customWidth="1"/>
    <col min="6" max="6" width="18.109375" customWidth="1"/>
    <col min="7" max="7" width="12.109375" customWidth="1"/>
    <col min="8" max="26" width="8.88671875" customWidth="1"/>
  </cols>
  <sheetData>
    <row r="1" spans="1:26" ht="34.5" customHeight="1" x14ac:dyDescent="0.25">
      <c r="A1" s="28" t="s">
        <v>1794</v>
      </c>
      <c r="B1" s="8" t="s">
        <v>10</v>
      </c>
      <c r="C1" s="8" t="s">
        <v>11</v>
      </c>
      <c r="D1" s="9" t="s">
        <v>1687</v>
      </c>
      <c r="E1" s="9" t="s">
        <v>1688</v>
      </c>
      <c r="F1" s="9" t="s">
        <v>1682</v>
      </c>
      <c r="G1" s="9" t="s">
        <v>1683</v>
      </c>
      <c r="H1" s="10"/>
      <c r="I1" s="10"/>
      <c r="J1" s="10"/>
      <c r="K1" s="10"/>
      <c r="L1" s="10"/>
      <c r="M1" s="10"/>
      <c r="N1" s="10"/>
      <c r="O1" s="10"/>
      <c r="P1" s="10"/>
      <c r="Q1" s="10"/>
      <c r="R1" s="10"/>
      <c r="S1" s="10"/>
      <c r="T1" s="10"/>
      <c r="U1" s="10"/>
      <c r="V1" s="10"/>
      <c r="W1" s="10"/>
      <c r="X1" s="10"/>
      <c r="Y1" s="10"/>
      <c r="Z1" s="10"/>
    </row>
    <row r="2" spans="1:26" ht="28.5" customHeight="1" x14ac:dyDescent="0.25">
      <c r="A2" s="24" t="s">
        <v>1795</v>
      </c>
      <c r="B2" s="24" t="s">
        <v>1796</v>
      </c>
      <c r="C2" s="11" t="s">
        <v>49</v>
      </c>
      <c r="D2" s="51">
        <v>4992</v>
      </c>
      <c r="E2" s="51">
        <v>7073</v>
      </c>
      <c r="F2" s="25">
        <f t="shared" ref="F2:F45" si="0">D2-E2</f>
        <v>-2081</v>
      </c>
      <c r="G2" s="25">
        <f t="shared" ref="G2:G45" si="1">(F2/E2)*100</f>
        <v>-29.421744662802208</v>
      </c>
      <c r="H2" s="17"/>
      <c r="I2" s="206"/>
      <c r="J2" s="17"/>
      <c r="K2" s="17"/>
      <c r="L2" s="17"/>
      <c r="M2" s="17"/>
      <c r="N2" s="17"/>
      <c r="O2" s="17"/>
      <c r="P2" s="17"/>
      <c r="Q2" s="17"/>
      <c r="R2" s="17"/>
      <c r="S2" s="17"/>
      <c r="T2" s="17"/>
      <c r="U2" s="17"/>
      <c r="V2" s="17"/>
      <c r="W2" s="17"/>
      <c r="X2" s="17"/>
      <c r="Y2" s="17"/>
      <c r="Z2" s="17"/>
    </row>
    <row r="3" spans="1:26" ht="28.5" customHeight="1" x14ac:dyDescent="0.25">
      <c r="A3" s="24" t="s">
        <v>1359</v>
      </c>
      <c r="B3" s="24" t="s">
        <v>1360</v>
      </c>
      <c r="C3" s="11" t="s">
        <v>49</v>
      </c>
      <c r="D3" s="51">
        <v>3883</v>
      </c>
      <c r="E3" s="51">
        <v>3522</v>
      </c>
      <c r="F3" s="25">
        <f t="shared" si="0"/>
        <v>361</v>
      </c>
      <c r="G3" s="25">
        <f t="shared" si="1"/>
        <v>10.249858035207268</v>
      </c>
      <c r="H3" s="17"/>
      <c r="I3" s="17"/>
      <c r="J3" s="17"/>
      <c r="K3" s="17"/>
      <c r="L3" s="17"/>
      <c r="M3" s="17"/>
      <c r="N3" s="17"/>
      <c r="O3" s="17"/>
      <c r="P3" s="17"/>
      <c r="Q3" s="17"/>
      <c r="R3" s="17"/>
      <c r="S3" s="17"/>
      <c r="T3" s="17"/>
      <c r="U3" s="17"/>
      <c r="V3" s="17"/>
      <c r="W3" s="17"/>
      <c r="X3" s="17"/>
      <c r="Y3" s="17"/>
      <c r="Z3" s="17"/>
    </row>
    <row r="4" spans="1:26" ht="28.5" customHeight="1" x14ac:dyDescent="0.25">
      <c r="A4" s="24" t="s">
        <v>1361</v>
      </c>
      <c r="B4" s="24" t="s">
        <v>153</v>
      </c>
      <c r="C4" s="11" t="s">
        <v>49</v>
      </c>
      <c r="D4" s="51">
        <v>3732</v>
      </c>
      <c r="E4" s="51">
        <v>6039</v>
      </c>
      <c r="F4" s="25">
        <f t="shared" si="0"/>
        <v>-2307</v>
      </c>
      <c r="G4" s="25">
        <f t="shared" si="1"/>
        <v>-38.201689021361155</v>
      </c>
      <c r="H4" s="17"/>
      <c r="I4" s="17"/>
      <c r="J4" s="17"/>
      <c r="K4" s="17"/>
      <c r="L4" s="17"/>
      <c r="M4" s="17"/>
      <c r="N4" s="17"/>
      <c r="O4" s="17"/>
      <c r="P4" s="17"/>
      <c r="Q4" s="17"/>
      <c r="R4" s="17"/>
      <c r="S4" s="17"/>
      <c r="T4" s="17"/>
      <c r="U4" s="17"/>
      <c r="V4" s="17"/>
      <c r="W4" s="17"/>
      <c r="X4" s="17"/>
      <c r="Y4" s="17"/>
      <c r="Z4" s="17"/>
    </row>
    <row r="5" spans="1:26" ht="28.5" customHeight="1" x14ac:dyDescent="0.25">
      <c r="A5" s="11" t="s">
        <v>1362</v>
      </c>
      <c r="B5" s="24" t="s">
        <v>376</v>
      </c>
      <c r="C5" s="11" t="s">
        <v>49</v>
      </c>
      <c r="D5" s="51">
        <v>3206</v>
      </c>
      <c r="E5" s="51">
        <v>4890</v>
      </c>
      <c r="F5" s="25">
        <f t="shared" si="0"/>
        <v>-1684</v>
      </c>
      <c r="G5" s="25">
        <f t="shared" si="1"/>
        <v>-34.437627811860935</v>
      </c>
      <c r="H5" s="17"/>
      <c r="I5" s="17"/>
      <c r="J5" s="17"/>
      <c r="K5" s="17"/>
      <c r="L5" s="17"/>
      <c r="M5" s="17"/>
      <c r="N5" s="17"/>
      <c r="O5" s="17"/>
      <c r="P5" s="17"/>
      <c r="Q5" s="17"/>
      <c r="R5" s="17"/>
      <c r="S5" s="17"/>
      <c r="T5" s="17"/>
      <c r="U5" s="17"/>
      <c r="V5" s="17"/>
      <c r="W5" s="17"/>
      <c r="X5" s="17"/>
      <c r="Y5" s="17"/>
      <c r="Z5" s="17"/>
    </row>
    <row r="6" spans="1:26" ht="28.5" customHeight="1" x14ac:dyDescent="0.25">
      <c r="A6" s="66" t="s">
        <v>1363</v>
      </c>
      <c r="B6" s="66" t="s">
        <v>1364</v>
      </c>
      <c r="C6" s="65" t="s">
        <v>49</v>
      </c>
      <c r="D6" s="51">
        <v>2738</v>
      </c>
      <c r="E6" s="51">
        <v>1875</v>
      </c>
      <c r="F6" s="25">
        <f t="shared" si="0"/>
        <v>863</v>
      </c>
      <c r="G6" s="25">
        <f t="shared" si="1"/>
        <v>46.026666666666664</v>
      </c>
      <c r="H6" s="17"/>
      <c r="I6" s="17"/>
      <c r="J6" s="17"/>
      <c r="K6" s="17"/>
      <c r="L6" s="17"/>
      <c r="M6" s="17"/>
      <c r="N6" s="17"/>
      <c r="O6" s="17"/>
      <c r="P6" s="17"/>
      <c r="Q6" s="17"/>
      <c r="R6" s="17"/>
      <c r="S6" s="17"/>
      <c r="T6" s="17"/>
      <c r="U6" s="17"/>
      <c r="V6" s="17"/>
      <c r="W6" s="17"/>
      <c r="X6" s="17"/>
      <c r="Y6" s="17"/>
      <c r="Z6" s="17"/>
    </row>
    <row r="7" spans="1:26" ht="28.5" customHeight="1" x14ac:dyDescent="0.25">
      <c r="A7" s="24" t="s">
        <v>1365</v>
      </c>
      <c r="B7" s="24" t="s">
        <v>1366</v>
      </c>
      <c r="C7" s="11" t="s">
        <v>49</v>
      </c>
      <c r="D7" s="51">
        <v>1745</v>
      </c>
      <c r="E7" s="51">
        <v>1393</v>
      </c>
      <c r="F7" s="25">
        <f t="shared" si="0"/>
        <v>352</v>
      </c>
      <c r="G7" s="25">
        <f t="shared" si="1"/>
        <v>25.269203158650395</v>
      </c>
      <c r="H7" s="17"/>
      <c r="I7" s="17"/>
      <c r="J7" s="17"/>
      <c r="K7" s="17"/>
      <c r="L7" s="17"/>
      <c r="M7" s="17"/>
      <c r="N7" s="17"/>
      <c r="O7" s="17"/>
      <c r="P7" s="17"/>
      <c r="Q7" s="17"/>
      <c r="R7" s="17"/>
      <c r="S7" s="17"/>
      <c r="T7" s="17"/>
      <c r="U7" s="17"/>
      <c r="V7" s="17"/>
      <c r="W7" s="17"/>
      <c r="X7" s="17"/>
      <c r="Y7" s="17"/>
      <c r="Z7" s="17"/>
    </row>
    <row r="8" spans="1:26" ht="28.5" customHeight="1" x14ac:dyDescent="0.25">
      <c r="A8" s="66" t="s">
        <v>1367</v>
      </c>
      <c r="B8" s="66" t="s">
        <v>1368</v>
      </c>
      <c r="C8" s="65" t="s">
        <v>49</v>
      </c>
      <c r="D8" s="207">
        <v>1160</v>
      </c>
      <c r="E8" s="207">
        <v>876</v>
      </c>
      <c r="F8" s="25">
        <f t="shared" si="0"/>
        <v>284</v>
      </c>
      <c r="G8" s="25">
        <f t="shared" si="1"/>
        <v>32.420091324200911</v>
      </c>
      <c r="H8" s="17"/>
      <c r="I8" s="17"/>
      <c r="J8" s="17"/>
      <c r="K8" s="17"/>
      <c r="L8" s="17"/>
      <c r="M8" s="17"/>
      <c r="N8" s="17"/>
      <c r="O8" s="17"/>
      <c r="P8" s="17"/>
      <c r="Q8" s="17"/>
      <c r="R8" s="17"/>
      <c r="S8" s="17"/>
      <c r="T8" s="17"/>
      <c r="U8" s="17"/>
      <c r="V8" s="17"/>
      <c r="W8" s="17"/>
      <c r="X8" s="17"/>
      <c r="Y8" s="17"/>
      <c r="Z8" s="17"/>
    </row>
    <row r="9" spans="1:26" ht="28.5" customHeight="1" x14ac:dyDescent="0.25">
      <c r="A9" s="24" t="s">
        <v>1369</v>
      </c>
      <c r="B9" s="24" t="s">
        <v>1370</v>
      </c>
      <c r="C9" s="11" t="s">
        <v>49</v>
      </c>
      <c r="D9" s="51">
        <v>632</v>
      </c>
      <c r="E9" s="51">
        <v>552</v>
      </c>
      <c r="F9" s="25">
        <f t="shared" si="0"/>
        <v>80</v>
      </c>
      <c r="G9" s="25">
        <f t="shared" si="1"/>
        <v>14.492753623188406</v>
      </c>
      <c r="H9" s="17"/>
      <c r="I9" s="17"/>
      <c r="J9" s="17"/>
      <c r="K9" s="17"/>
      <c r="L9" s="17"/>
      <c r="M9" s="17"/>
      <c r="N9" s="17"/>
      <c r="O9" s="17"/>
      <c r="P9" s="17"/>
      <c r="Q9" s="17"/>
      <c r="R9" s="17"/>
      <c r="S9" s="17"/>
      <c r="T9" s="17"/>
      <c r="U9" s="17"/>
      <c r="V9" s="17"/>
      <c r="W9" s="17"/>
      <c r="X9" s="17"/>
      <c r="Y9" s="17"/>
      <c r="Z9" s="17"/>
    </row>
    <row r="10" spans="1:26" ht="28.5" customHeight="1" x14ac:dyDescent="0.25">
      <c r="A10" s="24" t="s">
        <v>1371</v>
      </c>
      <c r="B10" s="24" t="s">
        <v>1372</v>
      </c>
      <c r="C10" s="11" t="s">
        <v>49</v>
      </c>
      <c r="D10" s="51">
        <v>301</v>
      </c>
      <c r="E10" s="51">
        <v>406</v>
      </c>
      <c r="F10" s="25">
        <f t="shared" si="0"/>
        <v>-105</v>
      </c>
      <c r="G10" s="25">
        <f t="shared" si="1"/>
        <v>-25.862068965517242</v>
      </c>
      <c r="H10" s="17"/>
      <c r="I10" s="17"/>
      <c r="J10" s="17"/>
      <c r="K10" s="17"/>
      <c r="L10" s="17"/>
      <c r="M10" s="17"/>
      <c r="N10" s="17"/>
      <c r="O10" s="17"/>
      <c r="P10" s="17"/>
      <c r="Q10" s="17"/>
      <c r="R10" s="17"/>
      <c r="S10" s="17"/>
      <c r="T10" s="17"/>
      <c r="U10" s="17"/>
      <c r="V10" s="17"/>
      <c r="W10" s="17"/>
      <c r="X10" s="17"/>
      <c r="Y10" s="17"/>
      <c r="Z10" s="17"/>
    </row>
    <row r="11" spans="1:26" ht="28.5" customHeight="1" x14ac:dyDescent="0.25">
      <c r="A11" s="24" t="s">
        <v>1373</v>
      </c>
      <c r="B11" s="24" t="s">
        <v>1374</v>
      </c>
      <c r="C11" s="11" t="s">
        <v>49</v>
      </c>
      <c r="D11" s="51">
        <v>169</v>
      </c>
      <c r="E11" s="51">
        <v>51</v>
      </c>
      <c r="F11" s="25">
        <f t="shared" si="0"/>
        <v>118</v>
      </c>
      <c r="G11" s="25">
        <f t="shared" si="1"/>
        <v>231.37254901960787</v>
      </c>
      <c r="H11" s="17"/>
      <c r="I11" s="17"/>
      <c r="J11" s="17"/>
      <c r="K11" s="17"/>
      <c r="L11" s="17"/>
      <c r="M11" s="17"/>
      <c r="N11" s="17"/>
      <c r="O11" s="17"/>
      <c r="P11" s="17"/>
      <c r="Q11" s="17"/>
      <c r="R11" s="17"/>
      <c r="S11" s="17"/>
      <c r="T11" s="17"/>
      <c r="U11" s="17"/>
      <c r="V11" s="17"/>
      <c r="W11" s="17"/>
      <c r="X11" s="17"/>
      <c r="Y11" s="17"/>
      <c r="Z11" s="17"/>
    </row>
    <row r="12" spans="1:26" ht="28.5" customHeight="1" x14ac:dyDescent="0.25">
      <c r="A12" s="24" t="s">
        <v>295</v>
      </c>
      <c r="B12" s="24" t="s">
        <v>296</v>
      </c>
      <c r="C12" s="11" t="s">
        <v>49</v>
      </c>
      <c r="D12" s="51">
        <v>160</v>
      </c>
      <c r="E12" s="51">
        <v>298</v>
      </c>
      <c r="F12" s="25">
        <f t="shared" si="0"/>
        <v>-138</v>
      </c>
      <c r="G12" s="25">
        <f t="shared" si="1"/>
        <v>-46.308724832214764</v>
      </c>
      <c r="H12" s="17"/>
      <c r="I12" s="17"/>
      <c r="J12" s="17"/>
      <c r="K12" s="17"/>
      <c r="L12" s="17"/>
      <c r="M12" s="17"/>
      <c r="N12" s="17"/>
      <c r="O12" s="17"/>
      <c r="P12" s="17"/>
      <c r="Q12" s="17"/>
      <c r="R12" s="17"/>
      <c r="S12" s="17"/>
      <c r="T12" s="17"/>
      <c r="U12" s="17"/>
      <c r="V12" s="17"/>
      <c r="W12" s="17"/>
      <c r="X12" s="17"/>
      <c r="Y12" s="17"/>
      <c r="Z12" s="17"/>
    </row>
    <row r="13" spans="1:26" ht="28.5" customHeight="1" x14ac:dyDescent="0.25">
      <c r="A13" s="24" t="s">
        <v>23</v>
      </c>
      <c r="B13" s="24"/>
      <c r="C13" s="11" t="s">
        <v>49</v>
      </c>
      <c r="D13" s="25">
        <v>605</v>
      </c>
      <c r="E13" s="25">
        <v>596</v>
      </c>
      <c r="F13" s="25">
        <f t="shared" si="0"/>
        <v>9</v>
      </c>
      <c r="G13" s="25">
        <f t="shared" si="1"/>
        <v>1.5100671140939599</v>
      </c>
      <c r="H13" s="17"/>
      <c r="I13" s="17"/>
      <c r="J13" s="17"/>
      <c r="K13" s="17"/>
      <c r="L13" s="17"/>
      <c r="M13" s="17"/>
      <c r="N13" s="17"/>
      <c r="O13" s="17"/>
      <c r="P13" s="17"/>
      <c r="Q13" s="17"/>
      <c r="R13" s="17"/>
      <c r="S13" s="17"/>
      <c r="T13" s="17"/>
      <c r="U13" s="17"/>
      <c r="V13" s="17"/>
      <c r="W13" s="17"/>
      <c r="X13" s="17"/>
      <c r="Y13" s="17"/>
      <c r="Z13" s="17"/>
    </row>
    <row r="14" spans="1:26" ht="28.5" customHeight="1" x14ac:dyDescent="0.25">
      <c r="A14" s="26" t="s">
        <v>198</v>
      </c>
      <c r="B14" s="26"/>
      <c r="C14" s="147" t="s">
        <v>49</v>
      </c>
      <c r="D14" s="19">
        <v>23323</v>
      </c>
      <c r="E14" s="19">
        <v>27571</v>
      </c>
      <c r="F14" s="22">
        <f t="shared" si="0"/>
        <v>-4248</v>
      </c>
      <c r="G14" s="22">
        <f t="shared" si="1"/>
        <v>-15.407493380726125</v>
      </c>
      <c r="H14" s="45"/>
      <c r="I14" s="45"/>
      <c r="J14" s="45"/>
      <c r="K14" s="45"/>
      <c r="L14" s="45"/>
      <c r="M14" s="45"/>
      <c r="N14" s="45"/>
      <c r="O14" s="45"/>
      <c r="P14" s="45"/>
      <c r="Q14" s="45"/>
      <c r="R14" s="45"/>
      <c r="S14" s="45"/>
      <c r="T14" s="45"/>
      <c r="U14" s="45"/>
      <c r="V14" s="45"/>
      <c r="W14" s="45"/>
      <c r="X14" s="45"/>
      <c r="Y14" s="45"/>
      <c r="Z14" s="45"/>
    </row>
    <row r="15" spans="1:26" ht="28.5" customHeight="1" x14ac:dyDescent="0.25">
      <c r="A15" s="11" t="s">
        <v>1375</v>
      </c>
      <c r="B15" s="11" t="s">
        <v>1376</v>
      </c>
      <c r="C15" s="11" t="s">
        <v>43</v>
      </c>
      <c r="D15" s="51">
        <v>2858</v>
      </c>
      <c r="E15" s="51">
        <v>2311</v>
      </c>
      <c r="F15" s="25">
        <f t="shared" si="0"/>
        <v>547</v>
      </c>
      <c r="G15" s="25">
        <f t="shared" si="1"/>
        <v>23.669407183037645</v>
      </c>
      <c r="H15" s="17"/>
      <c r="I15" s="17"/>
      <c r="J15" s="17"/>
      <c r="K15" s="17"/>
      <c r="L15" s="17"/>
      <c r="M15" s="17"/>
      <c r="N15" s="17"/>
      <c r="O15" s="17"/>
      <c r="P15" s="17"/>
      <c r="Q15" s="17"/>
      <c r="R15" s="17"/>
      <c r="S15" s="17"/>
      <c r="T15" s="17"/>
      <c r="U15" s="17"/>
      <c r="V15" s="17"/>
      <c r="W15" s="17"/>
      <c r="X15" s="17"/>
      <c r="Y15" s="17"/>
      <c r="Z15" s="17"/>
    </row>
    <row r="16" spans="1:26" ht="28.5" customHeight="1" x14ac:dyDescent="0.25">
      <c r="A16" s="11" t="s">
        <v>1139</v>
      </c>
      <c r="B16" s="11" t="s">
        <v>1140</v>
      </c>
      <c r="C16" s="11" t="s">
        <v>43</v>
      </c>
      <c r="D16" s="51">
        <v>1904</v>
      </c>
      <c r="E16" s="51">
        <v>1969</v>
      </c>
      <c r="F16" s="25">
        <f t="shared" si="0"/>
        <v>-65</v>
      </c>
      <c r="G16" s="25">
        <f t="shared" si="1"/>
        <v>-3.3011681056373794</v>
      </c>
      <c r="H16" s="17"/>
      <c r="I16" s="17"/>
      <c r="J16" s="17"/>
      <c r="K16" s="17"/>
      <c r="L16" s="17"/>
      <c r="M16" s="17"/>
      <c r="N16" s="17"/>
      <c r="O16" s="17"/>
      <c r="P16" s="17"/>
      <c r="Q16" s="17"/>
      <c r="R16" s="17"/>
      <c r="S16" s="17"/>
      <c r="T16" s="17"/>
      <c r="U16" s="17"/>
      <c r="V16" s="17"/>
      <c r="W16" s="17"/>
      <c r="X16" s="17"/>
      <c r="Y16" s="17"/>
      <c r="Z16" s="17"/>
    </row>
    <row r="17" spans="1:26" ht="28.5" customHeight="1" x14ac:dyDescent="0.25">
      <c r="A17" s="24" t="s">
        <v>1377</v>
      </c>
      <c r="B17" s="11" t="s">
        <v>1378</v>
      </c>
      <c r="C17" s="11" t="s">
        <v>43</v>
      </c>
      <c r="D17" s="51">
        <v>1108</v>
      </c>
      <c r="E17" s="51">
        <v>1129</v>
      </c>
      <c r="F17" s="25">
        <f t="shared" si="0"/>
        <v>-21</v>
      </c>
      <c r="G17" s="25">
        <f t="shared" si="1"/>
        <v>-1.8600531443755535</v>
      </c>
      <c r="H17" s="17"/>
      <c r="I17" s="17"/>
      <c r="J17" s="17"/>
      <c r="K17" s="17"/>
      <c r="L17" s="17"/>
      <c r="M17" s="17"/>
      <c r="N17" s="17"/>
      <c r="O17" s="17"/>
      <c r="P17" s="17"/>
      <c r="Q17" s="17"/>
      <c r="R17" s="17"/>
      <c r="S17" s="17"/>
      <c r="T17" s="17"/>
      <c r="U17" s="17"/>
      <c r="V17" s="17"/>
      <c r="W17" s="17"/>
      <c r="X17" s="17"/>
      <c r="Y17" s="17"/>
      <c r="Z17" s="17"/>
    </row>
    <row r="18" spans="1:26" ht="28.5" customHeight="1" x14ac:dyDescent="0.25">
      <c r="A18" s="11" t="s">
        <v>1362</v>
      </c>
      <c r="B18" s="24" t="s">
        <v>376</v>
      </c>
      <c r="C18" s="11" t="s">
        <v>43</v>
      </c>
      <c r="D18" s="51">
        <v>1017</v>
      </c>
      <c r="E18" s="51">
        <v>1587</v>
      </c>
      <c r="F18" s="25">
        <f t="shared" si="0"/>
        <v>-570</v>
      </c>
      <c r="G18" s="25">
        <f t="shared" si="1"/>
        <v>-35.916824196597354</v>
      </c>
      <c r="H18" s="17"/>
      <c r="I18" s="17"/>
      <c r="J18" s="17"/>
      <c r="K18" s="17"/>
      <c r="L18" s="17"/>
      <c r="M18" s="17"/>
      <c r="N18" s="17"/>
      <c r="O18" s="17"/>
      <c r="P18" s="17"/>
      <c r="Q18" s="17"/>
      <c r="R18" s="17"/>
      <c r="S18" s="17"/>
      <c r="T18" s="17"/>
      <c r="U18" s="17"/>
      <c r="V18" s="17"/>
      <c r="W18" s="17"/>
      <c r="X18" s="17"/>
      <c r="Y18" s="17"/>
      <c r="Z18" s="17"/>
    </row>
    <row r="19" spans="1:26" ht="28.5" customHeight="1" x14ac:dyDescent="0.25">
      <c r="A19" s="11" t="s">
        <v>1379</v>
      </c>
      <c r="B19" s="11" t="s">
        <v>1380</v>
      </c>
      <c r="C19" s="11" t="s">
        <v>43</v>
      </c>
      <c r="D19" s="51">
        <v>642</v>
      </c>
      <c r="E19" s="51">
        <v>751</v>
      </c>
      <c r="F19" s="25">
        <f t="shared" si="0"/>
        <v>-109</v>
      </c>
      <c r="G19" s="25">
        <f t="shared" si="1"/>
        <v>-14.513981358189081</v>
      </c>
      <c r="H19" s="17"/>
      <c r="I19" s="17"/>
      <c r="J19" s="17"/>
      <c r="K19" s="17"/>
      <c r="L19" s="17"/>
      <c r="M19" s="17"/>
      <c r="N19" s="17"/>
      <c r="O19" s="17"/>
      <c r="P19" s="17"/>
      <c r="Q19" s="17"/>
      <c r="R19" s="17"/>
      <c r="S19" s="17"/>
      <c r="T19" s="17"/>
      <c r="U19" s="17"/>
      <c r="V19" s="17"/>
      <c r="W19" s="17"/>
      <c r="X19" s="17"/>
      <c r="Y19" s="17"/>
      <c r="Z19" s="17"/>
    </row>
    <row r="20" spans="1:26" ht="28.5" customHeight="1" x14ac:dyDescent="0.25">
      <c r="A20" s="11" t="s">
        <v>1381</v>
      </c>
      <c r="B20" s="11" t="s">
        <v>1382</v>
      </c>
      <c r="C20" s="11" t="s">
        <v>43</v>
      </c>
      <c r="D20" s="51">
        <v>606</v>
      </c>
      <c r="E20" s="51">
        <v>656</v>
      </c>
      <c r="F20" s="25">
        <f t="shared" si="0"/>
        <v>-50</v>
      </c>
      <c r="G20" s="25">
        <f t="shared" si="1"/>
        <v>-7.6219512195121952</v>
      </c>
      <c r="H20" s="17"/>
      <c r="I20" s="17"/>
      <c r="J20" s="17"/>
      <c r="K20" s="17"/>
      <c r="L20" s="17"/>
      <c r="M20" s="17"/>
      <c r="N20" s="17"/>
      <c r="O20" s="17"/>
      <c r="P20" s="17"/>
      <c r="Q20" s="17"/>
      <c r="R20" s="17"/>
      <c r="S20" s="17"/>
      <c r="T20" s="17"/>
      <c r="U20" s="17"/>
      <c r="V20" s="17"/>
      <c r="W20" s="17"/>
      <c r="X20" s="17"/>
      <c r="Y20" s="17"/>
      <c r="Z20" s="17"/>
    </row>
    <row r="21" spans="1:26" ht="28.5" customHeight="1" x14ac:dyDescent="0.25">
      <c r="A21" s="11" t="s">
        <v>23</v>
      </c>
      <c r="B21" s="53"/>
      <c r="C21" s="11" t="s">
        <v>43</v>
      </c>
      <c r="D21" s="51">
        <v>93</v>
      </c>
      <c r="E21" s="51">
        <v>111</v>
      </c>
      <c r="F21" s="25">
        <f t="shared" si="0"/>
        <v>-18</v>
      </c>
      <c r="G21" s="25">
        <f t="shared" si="1"/>
        <v>-16.216216216216218</v>
      </c>
      <c r="H21" s="17"/>
      <c r="I21" s="17"/>
      <c r="J21" s="17"/>
      <c r="K21" s="17"/>
      <c r="L21" s="17"/>
      <c r="M21" s="17"/>
      <c r="N21" s="17"/>
      <c r="O21" s="17"/>
      <c r="P21" s="17"/>
      <c r="Q21" s="17"/>
      <c r="R21" s="17"/>
      <c r="S21" s="17"/>
      <c r="T21" s="17"/>
      <c r="U21" s="17"/>
      <c r="V21" s="17"/>
      <c r="W21" s="17"/>
      <c r="X21" s="17"/>
      <c r="Y21" s="17"/>
      <c r="Z21" s="17"/>
    </row>
    <row r="22" spans="1:26" ht="28.5" customHeight="1" x14ac:dyDescent="0.25">
      <c r="A22" s="30" t="s">
        <v>626</v>
      </c>
      <c r="B22" s="30"/>
      <c r="C22" s="31" t="s">
        <v>43</v>
      </c>
      <c r="D22" s="22">
        <v>8228</v>
      </c>
      <c r="E22" s="22">
        <v>8514</v>
      </c>
      <c r="F22" s="22">
        <f t="shared" si="0"/>
        <v>-286</v>
      </c>
      <c r="G22" s="22">
        <f t="shared" si="1"/>
        <v>-3.3591731266149871</v>
      </c>
      <c r="H22" s="45"/>
      <c r="I22" s="45"/>
      <c r="J22" s="45"/>
      <c r="K22" s="45"/>
      <c r="L22" s="45"/>
      <c r="M22" s="45"/>
      <c r="N22" s="45"/>
      <c r="O22" s="45"/>
      <c r="P22" s="45"/>
      <c r="Q22" s="45"/>
      <c r="R22" s="45"/>
      <c r="S22" s="45"/>
      <c r="T22" s="45"/>
      <c r="U22" s="45"/>
      <c r="V22" s="45"/>
      <c r="W22" s="45"/>
      <c r="X22" s="45"/>
      <c r="Y22" s="45"/>
      <c r="Z22" s="45"/>
    </row>
    <row r="23" spans="1:26" ht="28.5" customHeight="1" x14ac:dyDescent="0.25">
      <c r="A23" s="66" t="s">
        <v>1383</v>
      </c>
      <c r="B23" s="66" t="s">
        <v>374</v>
      </c>
      <c r="C23" s="66" t="s">
        <v>62</v>
      </c>
      <c r="D23" s="14">
        <v>4326</v>
      </c>
      <c r="E23" s="14">
        <v>3708</v>
      </c>
      <c r="F23" s="25">
        <f t="shared" si="0"/>
        <v>618</v>
      </c>
      <c r="G23" s="25">
        <f t="shared" si="1"/>
        <v>16.666666666666664</v>
      </c>
      <c r="H23" s="160"/>
      <c r="I23" s="161"/>
      <c r="J23" s="161"/>
      <c r="K23" s="161"/>
      <c r="L23" s="161"/>
      <c r="M23" s="161"/>
      <c r="N23" s="161"/>
      <c r="O23" s="161"/>
      <c r="P23" s="161"/>
      <c r="Q23" s="161"/>
      <c r="R23" s="161"/>
      <c r="S23" s="161"/>
      <c r="T23" s="161"/>
      <c r="U23" s="161"/>
      <c r="V23" s="161"/>
      <c r="W23" s="161"/>
      <c r="X23" s="161"/>
      <c r="Y23" s="161"/>
      <c r="Z23" s="161"/>
    </row>
    <row r="24" spans="1:26" ht="28.5" customHeight="1" x14ac:dyDescent="0.3">
      <c r="A24" s="24" t="s">
        <v>1384</v>
      </c>
      <c r="B24" s="24" t="s">
        <v>1385</v>
      </c>
      <c r="C24" s="66" t="s">
        <v>62</v>
      </c>
      <c r="D24" s="25">
        <v>361</v>
      </c>
      <c r="E24" s="25">
        <v>367</v>
      </c>
      <c r="F24" s="25">
        <f t="shared" si="0"/>
        <v>-6</v>
      </c>
      <c r="G24" s="25">
        <f t="shared" si="1"/>
        <v>-1.6348773841961852</v>
      </c>
      <c r="H24" s="208"/>
      <c r="I24" s="17"/>
      <c r="J24" s="17"/>
      <c r="K24" s="17"/>
      <c r="L24" s="17"/>
      <c r="M24" s="17"/>
      <c r="N24" s="17"/>
      <c r="O24" s="17"/>
      <c r="P24" s="17"/>
      <c r="Q24" s="17"/>
      <c r="R24" s="17"/>
      <c r="S24" s="17"/>
      <c r="T24" s="17"/>
      <c r="U24" s="17"/>
      <c r="V24" s="17"/>
      <c r="W24" s="17"/>
      <c r="X24" s="17"/>
      <c r="Y24" s="17"/>
      <c r="Z24" s="17"/>
    </row>
    <row r="25" spans="1:26" ht="28.5" customHeight="1" x14ac:dyDescent="0.3">
      <c r="A25" s="24" t="s">
        <v>23</v>
      </c>
      <c r="B25" s="24"/>
      <c r="C25" s="66" t="s">
        <v>62</v>
      </c>
      <c r="D25" s="25">
        <v>250</v>
      </c>
      <c r="E25" s="25">
        <v>283</v>
      </c>
      <c r="F25" s="25">
        <f t="shared" si="0"/>
        <v>-33</v>
      </c>
      <c r="G25" s="25">
        <f t="shared" si="1"/>
        <v>-11.66077738515901</v>
      </c>
      <c r="H25" s="208"/>
      <c r="I25" s="17"/>
      <c r="J25" s="17"/>
      <c r="K25" s="17"/>
      <c r="L25" s="17"/>
      <c r="M25" s="17"/>
      <c r="N25" s="17"/>
      <c r="O25" s="17"/>
      <c r="P25" s="17"/>
      <c r="Q25" s="17"/>
      <c r="R25" s="17"/>
      <c r="S25" s="17"/>
      <c r="T25" s="17"/>
      <c r="U25" s="17"/>
      <c r="V25" s="17"/>
      <c r="W25" s="17"/>
      <c r="X25" s="17"/>
      <c r="Y25" s="17"/>
      <c r="Z25" s="17"/>
    </row>
    <row r="26" spans="1:26" ht="28.5" customHeight="1" x14ac:dyDescent="0.25">
      <c r="A26" s="30" t="s">
        <v>633</v>
      </c>
      <c r="B26" s="30"/>
      <c r="C26" s="31" t="s">
        <v>62</v>
      </c>
      <c r="D26" s="22">
        <v>4937</v>
      </c>
      <c r="E26" s="22">
        <v>4358</v>
      </c>
      <c r="F26" s="22">
        <f t="shared" si="0"/>
        <v>579</v>
      </c>
      <c r="G26" s="22">
        <f t="shared" si="1"/>
        <v>13.285910968334097</v>
      </c>
      <c r="H26" s="45"/>
      <c r="I26" s="45"/>
      <c r="J26" s="45"/>
      <c r="K26" s="45"/>
      <c r="L26" s="45"/>
      <c r="M26" s="45"/>
      <c r="N26" s="45"/>
      <c r="O26" s="45"/>
      <c r="P26" s="45"/>
      <c r="Q26" s="45"/>
      <c r="R26" s="45"/>
      <c r="S26" s="45"/>
      <c r="T26" s="45"/>
      <c r="U26" s="45"/>
      <c r="V26" s="45"/>
      <c r="W26" s="45"/>
      <c r="X26" s="45"/>
      <c r="Y26" s="45"/>
      <c r="Z26" s="45"/>
    </row>
    <row r="27" spans="1:26" ht="28.5" customHeight="1" x14ac:dyDescent="0.3">
      <c r="A27" s="24" t="s">
        <v>1386</v>
      </c>
      <c r="B27" s="24" t="s">
        <v>1387</v>
      </c>
      <c r="C27" s="24" t="s">
        <v>113</v>
      </c>
      <c r="D27" s="25">
        <v>2190</v>
      </c>
      <c r="E27" s="25">
        <v>1380</v>
      </c>
      <c r="F27" s="25">
        <f t="shared" si="0"/>
        <v>810</v>
      </c>
      <c r="G27" s="25">
        <f t="shared" si="1"/>
        <v>58.695652173913047</v>
      </c>
      <c r="H27" s="208"/>
      <c r="I27" s="17"/>
      <c r="J27" s="17"/>
      <c r="K27" s="17"/>
      <c r="L27" s="17"/>
      <c r="M27" s="17"/>
      <c r="N27" s="17"/>
      <c r="O27" s="17"/>
      <c r="P27" s="17"/>
      <c r="Q27" s="17"/>
      <c r="R27" s="17"/>
      <c r="S27" s="17"/>
      <c r="T27" s="17"/>
      <c r="U27" s="17"/>
      <c r="V27" s="17"/>
      <c r="W27" s="17"/>
      <c r="X27" s="17"/>
      <c r="Y27" s="17"/>
      <c r="Z27" s="17"/>
    </row>
    <row r="28" spans="1:26" ht="28.5" customHeight="1" x14ac:dyDescent="0.25">
      <c r="A28" s="30" t="s">
        <v>1388</v>
      </c>
      <c r="B28" s="30"/>
      <c r="C28" s="31" t="s">
        <v>113</v>
      </c>
      <c r="D28" s="22">
        <v>2190</v>
      </c>
      <c r="E28" s="22">
        <v>1380</v>
      </c>
      <c r="F28" s="22">
        <f t="shared" si="0"/>
        <v>810</v>
      </c>
      <c r="G28" s="22">
        <f t="shared" si="1"/>
        <v>58.695652173913047</v>
      </c>
      <c r="H28" s="45"/>
      <c r="I28" s="45"/>
      <c r="J28" s="45"/>
      <c r="K28" s="45"/>
      <c r="L28" s="45"/>
      <c r="M28" s="45"/>
      <c r="N28" s="45"/>
      <c r="O28" s="45"/>
      <c r="P28" s="45"/>
      <c r="Q28" s="45"/>
      <c r="R28" s="45"/>
      <c r="S28" s="45"/>
      <c r="T28" s="45"/>
      <c r="U28" s="45"/>
      <c r="V28" s="45"/>
      <c r="W28" s="45"/>
      <c r="X28" s="45"/>
      <c r="Y28" s="45"/>
      <c r="Z28" s="45"/>
    </row>
    <row r="29" spans="1:26" ht="28.5" customHeight="1" x14ac:dyDescent="0.3">
      <c r="A29" s="24" t="s">
        <v>1122</v>
      </c>
      <c r="B29" s="24" t="s">
        <v>1123</v>
      </c>
      <c r="C29" s="24" t="s">
        <v>72</v>
      </c>
      <c r="D29" s="25">
        <v>1444</v>
      </c>
      <c r="E29" s="25">
        <v>1826</v>
      </c>
      <c r="F29" s="25">
        <f t="shared" si="0"/>
        <v>-382</v>
      </c>
      <c r="G29" s="25">
        <f t="shared" si="1"/>
        <v>-20.920043811610075</v>
      </c>
      <c r="H29" s="208"/>
      <c r="I29" s="17"/>
      <c r="J29" s="17"/>
      <c r="K29" s="17"/>
      <c r="L29" s="17"/>
      <c r="M29" s="17"/>
      <c r="N29" s="17"/>
      <c r="O29" s="17"/>
      <c r="P29" s="17"/>
      <c r="Q29" s="17"/>
      <c r="R29" s="17"/>
      <c r="S29" s="17"/>
      <c r="T29" s="17"/>
      <c r="U29" s="17"/>
      <c r="V29" s="17"/>
      <c r="W29" s="17"/>
      <c r="X29" s="17"/>
      <c r="Y29" s="17"/>
      <c r="Z29" s="17"/>
    </row>
    <row r="30" spans="1:26" ht="28.5" customHeight="1" x14ac:dyDescent="0.25">
      <c r="A30" s="30" t="s">
        <v>1389</v>
      </c>
      <c r="B30" s="30"/>
      <c r="C30" s="31" t="s">
        <v>72</v>
      </c>
      <c r="D30" s="22">
        <v>1444</v>
      </c>
      <c r="E30" s="22">
        <v>1826</v>
      </c>
      <c r="F30" s="22">
        <f t="shared" si="0"/>
        <v>-382</v>
      </c>
      <c r="G30" s="22">
        <f t="shared" si="1"/>
        <v>-20.920043811610075</v>
      </c>
      <c r="H30" s="45"/>
      <c r="I30" s="45"/>
      <c r="J30" s="45"/>
      <c r="K30" s="45"/>
      <c r="L30" s="45"/>
      <c r="M30" s="45"/>
      <c r="N30" s="45"/>
      <c r="O30" s="45"/>
      <c r="P30" s="45"/>
      <c r="Q30" s="45"/>
      <c r="R30" s="45"/>
      <c r="S30" s="45"/>
      <c r="T30" s="45"/>
      <c r="U30" s="45"/>
      <c r="V30" s="45"/>
      <c r="W30" s="45"/>
      <c r="X30" s="45"/>
      <c r="Y30" s="45"/>
      <c r="Z30" s="45"/>
    </row>
    <row r="31" spans="1:26" ht="28.5" customHeight="1" x14ac:dyDescent="0.25">
      <c r="A31" s="24" t="s">
        <v>1390</v>
      </c>
      <c r="B31" s="24" t="s">
        <v>1391</v>
      </c>
      <c r="C31" s="24" t="s">
        <v>89</v>
      </c>
      <c r="D31" s="25">
        <v>272</v>
      </c>
      <c r="E31" s="25">
        <v>377</v>
      </c>
      <c r="F31" s="25">
        <f t="shared" si="0"/>
        <v>-105</v>
      </c>
      <c r="G31" s="25">
        <f t="shared" si="1"/>
        <v>-27.851458885941643</v>
      </c>
      <c r="H31" s="17"/>
      <c r="I31" s="17"/>
      <c r="J31" s="17"/>
      <c r="K31" s="17"/>
      <c r="L31" s="17"/>
      <c r="M31" s="17"/>
      <c r="N31" s="17"/>
      <c r="O31" s="17"/>
      <c r="P31" s="17"/>
      <c r="Q31" s="17"/>
      <c r="R31" s="17"/>
      <c r="S31" s="17"/>
      <c r="T31" s="17"/>
      <c r="U31" s="17"/>
      <c r="V31" s="17"/>
      <c r="W31" s="17"/>
      <c r="X31" s="17"/>
      <c r="Y31" s="17"/>
      <c r="Z31" s="17"/>
    </row>
    <row r="32" spans="1:26" ht="28.5" customHeight="1" x14ac:dyDescent="0.3">
      <c r="A32" s="24" t="s">
        <v>1392</v>
      </c>
      <c r="B32" s="24" t="s">
        <v>1393</v>
      </c>
      <c r="C32" s="24" t="s">
        <v>89</v>
      </c>
      <c r="D32" s="25">
        <v>252</v>
      </c>
      <c r="E32" s="25">
        <v>342</v>
      </c>
      <c r="F32" s="25">
        <f t="shared" si="0"/>
        <v>-90</v>
      </c>
      <c r="G32" s="25">
        <f t="shared" si="1"/>
        <v>-26.315789473684209</v>
      </c>
      <c r="H32" s="208"/>
      <c r="I32" s="17"/>
      <c r="J32" s="17"/>
      <c r="K32" s="17"/>
      <c r="L32" s="17"/>
      <c r="M32" s="17"/>
      <c r="N32" s="17"/>
      <c r="O32" s="17"/>
      <c r="P32" s="17"/>
      <c r="Q32" s="17"/>
      <c r="R32" s="17"/>
      <c r="S32" s="17"/>
      <c r="T32" s="17"/>
      <c r="U32" s="17"/>
      <c r="V32" s="17"/>
      <c r="W32" s="17"/>
      <c r="X32" s="17"/>
      <c r="Y32" s="17"/>
      <c r="Z32" s="17"/>
    </row>
    <row r="33" spans="1:26" ht="28.5" customHeight="1" x14ac:dyDescent="0.3">
      <c r="A33" s="24" t="s">
        <v>23</v>
      </c>
      <c r="B33" s="24"/>
      <c r="C33" s="24" t="s">
        <v>89</v>
      </c>
      <c r="D33" s="25">
        <v>337</v>
      </c>
      <c r="E33" s="25">
        <v>370</v>
      </c>
      <c r="F33" s="25">
        <f t="shared" si="0"/>
        <v>-33</v>
      </c>
      <c r="G33" s="25">
        <f t="shared" si="1"/>
        <v>-8.9189189189189193</v>
      </c>
      <c r="H33" s="208"/>
      <c r="I33" s="17"/>
      <c r="J33" s="17"/>
      <c r="K33" s="17"/>
      <c r="L33" s="17"/>
      <c r="M33" s="17"/>
      <c r="N33" s="17"/>
      <c r="O33" s="17"/>
      <c r="P33" s="17"/>
      <c r="Q33" s="17"/>
      <c r="R33" s="17"/>
      <c r="S33" s="17"/>
      <c r="T33" s="17"/>
      <c r="U33" s="17"/>
      <c r="V33" s="17"/>
      <c r="W33" s="17"/>
      <c r="X33" s="17"/>
      <c r="Y33" s="17"/>
      <c r="Z33" s="17"/>
    </row>
    <row r="34" spans="1:26" ht="28.5" customHeight="1" x14ac:dyDescent="0.25">
      <c r="A34" s="30" t="s">
        <v>859</v>
      </c>
      <c r="B34" s="30"/>
      <c r="C34" s="31" t="s">
        <v>89</v>
      </c>
      <c r="D34" s="22">
        <v>861</v>
      </c>
      <c r="E34" s="22">
        <v>1089</v>
      </c>
      <c r="F34" s="22">
        <f t="shared" si="0"/>
        <v>-228</v>
      </c>
      <c r="G34" s="22">
        <f t="shared" si="1"/>
        <v>-20.9366391184573</v>
      </c>
      <c r="H34" s="45"/>
      <c r="I34" s="45"/>
      <c r="J34" s="45"/>
      <c r="K34" s="45"/>
      <c r="L34" s="45"/>
      <c r="M34" s="45"/>
      <c r="N34" s="45"/>
      <c r="O34" s="45"/>
      <c r="P34" s="45"/>
      <c r="Q34" s="45"/>
      <c r="R34" s="45"/>
      <c r="S34" s="45"/>
      <c r="T34" s="45"/>
      <c r="U34" s="45"/>
      <c r="V34" s="45"/>
      <c r="W34" s="45"/>
      <c r="X34" s="45"/>
      <c r="Y34" s="45"/>
      <c r="Z34" s="45"/>
    </row>
    <row r="35" spans="1:26" ht="28.5" customHeight="1" x14ac:dyDescent="0.3">
      <c r="A35" s="24" t="s">
        <v>1394</v>
      </c>
      <c r="B35" s="24" t="s">
        <v>1395</v>
      </c>
      <c r="C35" s="24" t="s">
        <v>129</v>
      </c>
      <c r="D35" s="25">
        <v>1321</v>
      </c>
      <c r="E35" s="25">
        <v>1332</v>
      </c>
      <c r="F35" s="25">
        <f t="shared" si="0"/>
        <v>-11</v>
      </c>
      <c r="G35" s="25">
        <f t="shared" si="1"/>
        <v>-0.82582582582582575</v>
      </c>
      <c r="H35" s="208"/>
      <c r="I35" s="17"/>
      <c r="J35" s="17"/>
      <c r="K35" s="17"/>
      <c r="L35" s="17"/>
      <c r="M35" s="17"/>
      <c r="N35" s="17"/>
      <c r="O35" s="17"/>
      <c r="P35" s="17"/>
      <c r="Q35" s="17"/>
      <c r="R35" s="17"/>
      <c r="S35" s="17"/>
      <c r="T35" s="17"/>
      <c r="U35" s="17"/>
      <c r="V35" s="17"/>
      <c r="W35" s="17"/>
      <c r="X35" s="17"/>
      <c r="Y35" s="17"/>
      <c r="Z35" s="17"/>
    </row>
    <row r="36" spans="1:26" ht="28.5" customHeight="1" x14ac:dyDescent="0.3">
      <c r="A36" s="24" t="s">
        <v>1396</v>
      </c>
      <c r="B36" s="24" t="s">
        <v>1397</v>
      </c>
      <c r="C36" s="24" t="s">
        <v>113</v>
      </c>
      <c r="D36" s="25">
        <v>470</v>
      </c>
      <c r="E36" s="25">
        <v>591</v>
      </c>
      <c r="F36" s="25">
        <f t="shared" si="0"/>
        <v>-121</v>
      </c>
      <c r="G36" s="25">
        <f t="shared" si="1"/>
        <v>-20.473773265651438</v>
      </c>
      <c r="H36" s="208"/>
      <c r="I36" s="17"/>
      <c r="J36" s="17"/>
      <c r="K36" s="17"/>
      <c r="L36" s="17"/>
      <c r="M36" s="17"/>
      <c r="N36" s="17"/>
      <c r="O36" s="17"/>
      <c r="P36" s="17"/>
      <c r="Q36" s="17"/>
      <c r="R36" s="17"/>
      <c r="S36" s="17"/>
      <c r="T36" s="17"/>
      <c r="U36" s="17"/>
      <c r="V36" s="17"/>
      <c r="W36" s="17"/>
      <c r="X36" s="17"/>
      <c r="Y36" s="17"/>
      <c r="Z36" s="17"/>
    </row>
    <row r="37" spans="1:26" ht="28.5" customHeight="1" x14ac:dyDescent="0.3">
      <c r="A37" s="24" t="s">
        <v>1398</v>
      </c>
      <c r="B37" s="24" t="s">
        <v>1399</v>
      </c>
      <c r="C37" s="24" t="s">
        <v>113</v>
      </c>
      <c r="D37" s="25">
        <v>239</v>
      </c>
      <c r="E37" s="25">
        <v>262</v>
      </c>
      <c r="F37" s="25">
        <f t="shared" si="0"/>
        <v>-23</v>
      </c>
      <c r="G37" s="25">
        <f t="shared" si="1"/>
        <v>-8.778625954198473</v>
      </c>
      <c r="H37" s="208"/>
      <c r="I37" s="17"/>
      <c r="J37" s="17"/>
      <c r="K37" s="17"/>
      <c r="L37" s="17"/>
      <c r="M37" s="17"/>
      <c r="N37" s="17"/>
      <c r="O37" s="17"/>
      <c r="P37" s="17"/>
      <c r="Q37" s="17"/>
      <c r="R37" s="17"/>
      <c r="S37" s="17"/>
      <c r="T37" s="17"/>
      <c r="U37" s="17"/>
      <c r="V37" s="17"/>
      <c r="W37" s="17"/>
      <c r="X37" s="17"/>
      <c r="Y37" s="17"/>
      <c r="Z37" s="17"/>
    </row>
    <row r="38" spans="1:26" ht="28.5" customHeight="1" x14ac:dyDescent="0.3">
      <c r="A38" s="24" t="s">
        <v>23</v>
      </c>
      <c r="B38" s="24"/>
      <c r="C38" s="24"/>
      <c r="D38" s="25">
        <v>1519</v>
      </c>
      <c r="E38" s="25">
        <v>1593</v>
      </c>
      <c r="F38" s="25">
        <f t="shared" si="0"/>
        <v>-74</v>
      </c>
      <c r="G38" s="25">
        <f t="shared" si="1"/>
        <v>-4.6453232893910856</v>
      </c>
      <c r="H38" s="208"/>
      <c r="I38" s="17"/>
      <c r="J38" s="17"/>
      <c r="K38" s="17"/>
      <c r="L38" s="17"/>
      <c r="M38" s="17"/>
      <c r="N38" s="17"/>
      <c r="O38" s="17"/>
      <c r="P38" s="17"/>
      <c r="Q38" s="17"/>
      <c r="R38" s="17"/>
      <c r="S38" s="17"/>
      <c r="T38" s="17"/>
      <c r="U38" s="17"/>
      <c r="V38" s="17"/>
      <c r="W38" s="17"/>
      <c r="X38" s="17"/>
      <c r="Y38" s="17"/>
      <c r="Z38" s="17"/>
    </row>
    <row r="39" spans="1:26" ht="28.5" customHeight="1" x14ac:dyDescent="0.25">
      <c r="A39" s="26" t="s">
        <v>1400</v>
      </c>
      <c r="B39" s="209"/>
      <c r="C39" s="209"/>
      <c r="D39" s="19">
        <v>3549</v>
      </c>
      <c r="E39" s="19">
        <v>3778</v>
      </c>
      <c r="F39" s="22">
        <f t="shared" si="0"/>
        <v>-229</v>
      </c>
      <c r="G39" s="22">
        <f t="shared" si="1"/>
        <v>-6.0614081524616195</v>
      </c>
      <c r="H39" s="17"/>
      <c r="I39" s="17"/>
      <c r="J39" s="17"/>
      <c r="K39" s="17"/>
      <c r="L39" s="17"/>
      <c r="M39" s="17"/>
      <c r="N39" s="17"/>
      <c r="O39" s="17"/>
      <c r="P39" s="17"/>
      <c r="Q39" s="17"/>
      <c r="R39" s="17"/>
      <c r="S39" s="17"/>
      <c r="T39" s="17"/>
      <c r="U39" s="17"/>
      <c r="V39" s="17"/>
      <c r="W39" s="17"/>
      <c r="X39" s="17"/>
      <c r="Y39" s="17"/>
      <c r="Z39" s="17"/>
    </row>
    <row r="40" spans="1:26" ht="28.5" customHeight="1" x14ac:dyDescent="0.25">
      <c r="A40" s="30" t="s">
        <v>1401</v>
      </c>
      <c r="B40" s="30"/>
      <c r="C40" s="30"/>
      <c r="D40" s="19">
        <v>44532</v>
      </c>
      <c r="E40" s="19">
        <v>48516</v>
      </c>
      <c r="F40" s="22">
        <f t="shared" si="0"/>
        <v>-3984</v>
      </c>
      <c r="G40" s="22">
        <f t="shared" si="1"/>
        <v>-8.2117239673509772</v>
      </c>
      <c r="H40" s="17"/>
      <c r="I40" s="17"/>
      <c r="J40" s="17"/>
      <c r="K40" s="17"/>
      <c r="L40" s="17"/>
      <c r="M40" s="17"/>
      <c r="N40" s="17"/>
      <c r="O40" s="17"/>
      <c r="P40" s="17"/>
      <c r="Q40" s="17"/>
      <c r="R40" s="17"/>
      <c r="S40" s="17"/>
      <c r="T40" s="17"/>
      <c r="U40" s="17"/>
      <c r="V40" s="17"/>
      <c r="W40" s="17"/>
      <c r="X40" s="17"/>
      <c r="Y40" s="17"/>
      <c r="Z40" s="17"/>
    </row>
    <row r="41" spans="1:26" ht="28.5" customHeight="1" x14ac:dyDescent="0.25">
      <c r="A41" s="30" t="s">
        <v>492</v>
      </c>
      <c r="B41" s="30"/>
      <c r="C41" s="30"/>
      <c r="D41" s="19">
        <v>1959</v>
      </c>
      <c r="E41" s="19">
        <v>2198</v>
      </c>
      <c r="F41" s="22">
        <f t="shared" si="0"/>
        <v>-239</v>
      </c>
      <c r="G41" s="22">
        <f t="shared" si="1"/>
        <v>-10.873521383075522</v>
      </c>
      <c r="H41" s="17"/>
      <c r="I41" s="17"/>
      <c r="J41" s="17"/>
      <c r="K41" s="17"/>
      <c r="L41" s="17"/>
      <c r="M41" s="17"/>
      <c r="N41" s="17"/>
      <c r="O41" s="17"/>
      <c r="P41" s="17"/>
      <c r="Q41" s="17"/>
      <c r="R41" s="17"/>
      <c r="S41" s="17"/>
      <c r="T41" s="17"/>
      <c r="U41" s="17"/>
      <c r="V41" s="17"/>
      <c r="W41" s="17"/>
      <c r="X41" s="17"/>
      <c r="Y41" s="17"/>
      <c r="Z41" s="17"/>
    </row>
    <row r="42" spans="1:26" ht="28.5" customHeight="1" x14ac:dyDescent="0.25">
      <c r="A42" s="30" t="s">
        <v>248</v>
      </c>
      <c r="B42" s="30"/>
      <c r="C42" s="30"/>
      <c r="D42" s="19">
        <v>46491</v>
      </c>
      <c r="E42" s="19">
        <v>50714</v>
      </c>
      <c r="F42" s="22">
        <f t="shared" si="0"/>
        <v>-4223</v>
      </c>
      <c r="G42" s="22">
        <f t="shared" si="1"/>
        <v>-8.3270891666995297</v>
      </c>
      <c r="H42" s="17"/>
      <c r="I42" s="17"/>
      <c r="J42" s="17"/>
      <c r="K42" s="17"/>
      <c r="L42" s="17"/>
      <c r="M42" s="17"/>
      <c r="N42" s="17"/>
      <c r="O42" s="17"/>
      <c r="P42" s="17"/>
      <c r="Q42" s="17"/>
      <c r="R42" s="17"/>
      <c r="S42" s="17"/>
      <c r="T42" s="17"/>
      <c r="U42" s="17"/>
      <c r="V42" s="17"/>
      <c r="W42" s="17"/>
      <c r="X42" s="17"/>
      <c r="Y42" s="17"/>
      <c r="Z42" s="17"/>
    </row>
    <row r="43" spans="1:26" ht="28.5" customHeight="1" x14ac:dyDescent="0.25">
      <c r="A43" s="30" t="s">
        <v>1402</v>
      </c>
      <c r="B43" s="30"/>
      <c r="C43" s="31" t="s">
        <v>30</v>
      </c>
      <c r="D43" s="19">
        <v>13791</v>
      </c>
      <c r="E43" s="19">
        <v>12950</v>
      </c>
      <c r="F43" s="22">
        <f t="shared" si="0"/>
        <v>841</v>
      </c>
      <c r="G43" s="22">
        <f t="shared" si="1"/>
        <v>6.494208494208495</v>
      </c>
      <c r="H43" s="17"/>
      <c r="I43" s="17"/>
      <c r="J43" s="17"/>
      <c r="K43" s="17"/>
      <c r="L43" s="17"/>
      <c r="M43" s="17"/>
      <c r="N43" s="17"/>
      <c r="O43" s="17"/>
      <c r="P43" s="17"/>
      <c r="Q43" s="17"/>
      <c r="R43" s="17"/>
      <c r="S43" s="17"/>
      <c r="T43" s="17"/>
      <c r="U43" s="17"/>
      <c r="V43" s="17"/>
      <c r="W43" s="17"/>
      <c r="X43" s="17"/>
      <c r="Y43" s="17"/>
      <c r="Z43" s="17"/>
    </row>
    <row r="44" spans="1:26" ht="28.5" customHeight="1" x14ac:dyDescent="0.25">
      <c r="A44" s="30" t="s">
        <v>492</v>
      </c>
      <c r="B44" s="30"/>
      <c r="C44" s="30"/>
      <c r="D44" s="19">
        <v>61</v>
      </c>
      <c r="E44" s="19">
        <v>87</v>
      </c>
      <c r="F44" s="22">
        <f t="shared" si="0"/>
        <v>-26</v>
      </c>
      <c r="G44" s="22">
        <f t="shared" si="1"/>
        <v>-29.885057471264371</v>
      </c>
      <c r="H44" s="17"/>
      <c r="I44" s="17"/>
      <c r="J44" s="17"/>
      <c r="K44" s="17"/>
      <c r="L44" s="17"/>
      <c r="M44" s="17"/>
      <c r="N44" s="17"/>
      <c r="O44" s="17"/>
      <c r="P44" s="17"/>
      <c r="Q44" s="17"/>
      <c r="R44" s="17"/>
      <c r="S44" s="17"/>
      <c r="T44" s="17"/>
      <c r="U44" s="17"/>
      <c r="V44" s="17"/>
      <c r="W44" s="17"/>
      <c r="X44" s="17"/>
      <c r="Y44" s="17"/>
      <c r="Z44" s="17"/>
    </row>
    <row r="45" spans="1:26" ht="28.5" customHeight="1" x14ac:dyDescent="0.25">
      <c r="A45" s="30" t="s">
        <v>348</v>
      </c>
      <c r="B45" s="30"/>
      <c r="C45" s="30"/>
      <c r="D45" s="19">
        <v>60343</v>
      </c>
      <c r="E45" s="19">
        <v>63751</v>
      </c>
      <c r="F45" s="22">
        <f t="shared" si="0"/>
        <v>-3408</v>
      </c>
      <c r="G45" s="22">
        <f t="shared" si="1"/>
        <v>-5.3457984972784738</v>
      </c>
      <c r="H45" s="17"/>
      <c r="I45" s="17"/>
      <c r="J45" s="17"/>
      <c r="K45" s="17"/>
      <c r="L45" s="17"/>
      <c r="M45" s="17"/>
      <c r="N45" s="17"/>
      <c r="O45" s="17"/>
      <c r="P45" s="17"/>
      <c r="Q45" s="17"/>
      <c r="R45" s="17"/>
      <c r="S45" s="17"/>
      <c r="T45" s="17"/>
      <c r="U45" s="17"/>
      <c r="V45" s="17"/>
      <c r="W45" s="17"/>
      <c r="X45" s="17"/>
      <c r="Y45" s="17"/>
      <c r="Z45" s="17"/>
    </row>
  </sheetData>
  <pageMargins left="0.7" right="0.7" top="0.75" bottom="0.75" header="0" footer="0"/>
  <pageSetup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2A5DB0"/>
  </sheetPr>
  <dimension ref="A1:X63"/>
  <sheetViews>
    <sheetView workbookViewId="0">
      <pane ySplit="1" topLeftCell="A2" activePane="bottomLeft" state="frozen"/>
      <selection pane="bottomLeft"/>
    </sheetView>
  </sheetViews>
  <sheetFormatPr defaultColWidth="14.44140625" defaultRowHeight="15.75" customHeight="1" x14ac:dyDescent="0.25"/>
  <cols>
    <col min="1" max="1" width="27.33203125" customWidth="1"/>
    <col min="2" max="2" width="22" customWidth="1"/>
    <col min="3" max="3" width="23.88671875" customWidth="1"/>
    <col min="4" max="8" width="13.109375" customWidth="1"/>
    <col min="9" max="9" width="11.44140625" customWidth="1"/>
    <col min="10" max="10" width="12.6640625" customWidth="1"/>
    <col min="11" max="11" width="11.6640625" customWidth="1"/>
    <col min="12" max="12" width="11.5546875" customWidth="1"/>
    <col min="13" max="13" width="9" customWidth="1"/>
    <col min="14" max="22" width="12.6640625" customWidth="1"/>
  </cols>
  <sheetData>
    <row r="1" spans="1:24" ht="34.5" customHeight="1" x14ac:dyDescent="0.25">
      <c r="A1" s="28" t="s">
        <v>1797</v>
      </c>
      <c r="B1" s="8" t="s">
        <v>10</v>
      </c>
      <c r="C1" s="8" t="s">
        <v>11</v>
      </c>
      <c r="D1" s="9" t="s">
        <v>1798</v>
      </c>
      <c r="E1" s="9" t="s">
        <v>1678</v>
      </c>
      <c r="F1" s="9" t="s">
        <v>1686</v>
      </c>
      <c r="G1" s="9" t="s">
        <v>1687</v>
      </c>
      <c r="H1" s="9" t="s">
        <v>1798</v>
      </c>
      <c r="I1" s="9" t="s">
        <v>1678</v>
      </c>
      <c r="J1" s="9" t="s">
        <v>1686</v>
      </c>
      <c r="K1" s="9" t="s">
        <v>1688</v>
      </c>
      <c r="L1" s="9" t="s">
        <v>1682</v>
      </c>
      <c r="M1" s="9" t="s">
        <v>1702</v>
      </c>
      <c r="N1" s="210"/>
      <c r="O1" s="210"/>
      <c r="P1" s="210"/>
      <c r="Q1" s="210"/>
      <c r="R1" s="210"/>
      <c r="S1" s="210"/>
      <c r="T1" s="210"/>
      <c r="U1" s="210"/>
      <c r="V1" s="210"/>
    </row>
    <row r="2" spans="1:24" ht="28.5" customHeight="1" x14ac:dyDescent="0.3">
      <c r="A2" s="30" t="s">
        <v>1799</v>
      </c>
      <c r="B2" s="30" t="s">
        <v>1340</v>
      </c>
      <c r="C2" s="31" t="s">
        <v>56</v>
      </c>
      <c r="D2" s="22">
        <v>386</v>
      </c>
      <c r="E2" s="22">
        <v>2808</v>
      </c>
      <c r="F2" s="22">
        <v>340</v>
      </c>
      <c r="G2" s="22">
        <f t="shared" ref="G2:G11" si="0">D2+E2+F2</f>
        <v>3534</v>
      </c>
      <c r="H2" s="22">
        <v>506</v>
      </c>
      <c r="I2" s="22">
        <v>1502</v>
      </c>
      <c r="J2" s="21">
        <v>101</v>
      </c>
      <c r="K2" s="22">
        <v>2109</v>
      </c>
      <c r="L2" s="22">
        <f t="shared" ref="L2:L13" si="1">G2-K2</f>
        <v>1425</v>
      </c>
      <c r="M2" s="22">
        <f t="shared" ref="M2:M13" si="2">(L2/K2)*100</f>
        <v>67.567567567567565</v>
      </c>
      <c r="N2" s="211"/>
      <c r="O2" s="211"/>
      <c r="P2" s="211"/>
      <c r="Q2" s="211"/>
      <c r="R2" s="211"/>
      <c r="S2" s="211"/>
      <c r="T2" s="211"/>
      <c r="U2" s="211"/>
      <c r="V2" s="211"/>
      <c r="W2" s="5"/>
      <c r="X2" s="5"/>
    </row>
    <row r="3" spans="1:24" ht="28.5" customHeight="1" x14ac:dyDescent="0.3">
      <c r="A3" s="24" t="s">
        <v>1404</v>
      </c>
      <c r="B3" s="24" t="s">
        <v>1405</v>
      </c>
      <c r="C3" s="24" t="s">
        <v>62</v>
      </c>
      <c r="D3" s="25">
        <v>473</v>
      </c>
      <c r="E3" s="25">
        <v>1448</v>
      </c>
      <c r="F3" s="25">
        <v>124</v>
      </c>
      <c r="G3" s="25">
        <f t="shared" si="0"/>
        <v>2045</v>
      </c>
      <c r="H3" s="25">
        <v>412</v>
      </c>
      <c r="I3" s="25">
        <v>1351</v>
      </c>
      <c r="J3" s="13">
        <v>116</v>
      </c>
      <c r="K3" s="25">
        <v>1879</v>
      </c>
      <c r="L3" s="25">
        <f t="shared" si="1"/>
        <v>166</v>
      </c>
      <c r="M3" s="25">
        <f t="shared" si="2"/>
        <v>8.8344864289515694</v>
      </c>
      <c r="N3" s="211"/>
      <c r="O3" s="211"/>
      <c r="P3" s="211"/>
      <c r="Q3" s="211"/>
      <c r="R3" s="211"/>
      <c r="S3" s="211"/>
      <c r="T3" s="211"/>
      <c r="U3" s="211"/>
      <c r="V3" s="211"/>
      <c r="W3" s="5"/>
      <c r="X3" s="5"/>
    </row>
    <row r="4" spans="1:24" ht="28.5" customHeight="1" x14ac:dyDescent="0.3">
      <c r="A4" s="24" t="s">
        <v>1406</v>
      </c>
      <c r="B4" s="24" t="s">
        <v>1407</v>
      </c>
      <c r="C4" s="24" t="s">
        <v>62</v>
      </c>
      <c r="D4" s="25">
        <v>30</v>
      </c>
      <c r="E4" s="25">
        <v>60</v>
      </c>
      <c r="F4" s="25">
        <v>23</v>
      </c>
      <c r="G4" s="25">
        <f t="shared" si="0"/>
        <v>113</v>
      </c>
      <c r="H4" s="25">
        <v>94</v>
      </c>
      <c r="I4" s="25">
        <v>151</v>
      </c>
      <c r="J4" s="13">
        <v>36</v>
      </c>
      <c r="K4" s="25">
        <v>281</v>
      </c>
      <c r="L4" s="25">
        <f t="shared" si="1"/>
        <v>-168</v>
      </c>
      <c r="M4" s="25">
        <f t="shared" si="2"/>
        <v>-59.786476868327398</v>
      </c>
      <c r="N4" s="211"/>
      <c r="O4" s="211"/>
      <c r="P4" s="211"/>
      <c r="Q4" s="211"/>
      <c r="R4" s="211"/>
      <c r="S4" s="211"/>
      <c r="T4" s="211"/>
      <c r="U4" s="211"/>
      <c r="V4" s="211"/>
      <c r="W4" s="5"/>
      <c r="X4" s="5"/>
    </row>
    <row r="5" spans="1:24" ht="28.5" customHeight="1" x14ac:dyDescent="0.3">
      <c r="A5" s="24" t="s">
        <v>1346</v>
      </c>
      <c r="B5" s="24" t="s">
        <v>1347</v>
      </c>
      <c r="C5" s="24" t="s">
        <v>43</v>
      </c>
      <c r="D5" s="25">
        <v>75</v>
      </c>
      <c r="E5" s="25">
        <v>123</v>
      </c>
      <c r="F5" s="25">
        <v>38</v>
      </c>
      <c r="G5" s="25">
        <f t="shared" si="0"/>
        <v>236</v>
      </c>
      <c r="H5" s="25">
        <v>43</v>
      </c>
      <c r="I5" s="25">
        <v>115</v>
      </c>
      <c r="J5" s="13">
        <v>27</v>
      </c>
      <c r="K5" s="25">
        <v>185</v>
      </c>
      <c r="L5" s="25">
        <f t="shared" si="1"/>
        <v>51</v>
      </c>
      <c r="M5" s="25">
        <f t="shared" si="2"/>
        <v>27.567567567567568</v>
      </c>
      <c r="N5" s="212"/>
      <c r="O5" s="212"/>
      <c r="P5" s="212"/>
      <c r="Q5" s="212"/>
      <c r="R5" s="212"/>
      <c r="S5" s="212"/>
      <c r="T5" s="212"/>
      <c r="U5" s="212"/>
      <c r="V5" s="212"/>
      <c r="W5" s="5"/>
      <c r="X5" s="5"/>
    </row>
    <row r="6" spans="1:24" ht="28.5" customHeight="1" x14ac:dyDescent="0.3">
      <c r="A6" s="30" t="s">
        <v>1408</v>
      </c>
      <c r="B6" s="30"/>
      <c r="C6" s="30"/>
      <c r="D6" s="22">
        <v>578</v>
      </c>
      <c r="E6" s="22">
        <v>1631</v>
      </c>
      <c r="F6" s="22">
        <v>185</v>
      </c>
      <c r="G6" s="22">
        <f t="shared" si="0"/>
        <v>2394</v>
      </c>
      <c r="H6" s="22">
        <v>549</v>
      </c>
      <c r="I6" s="22">
        <v>1617</v>
      </c>
      <c r="J6" s="21">
        <v>177</v>
      </c>
      <c r="K6" s="22">
        <v>2343</v>
      </c>
      <c r="L6" s="22">
        <f t="shared" si="1"/>
        <v>51</v>
      </c>
      <c r="M6" s="22">
        <f t="shared" si="2"/>
        <v>2.1766965428937262</v>
      </c>
      <c r="N6" s="211"/>
      <c r="O6" s="211"/>
      <c r="P6" s="211"/>
      <c r="Q6" s="211"/>
      <c r="R6" s="211"/>
      <c r="S6" s="211"/>
      <c r="T6" s="211"/>
      <c r="U6" s="211"/>
      <c r="V6" s="211"/>
      <c r="W6" s="5"/>
      <c r="X6" s="5"/>
    </row>
    <row r="7" spans="1:24" ht="28.5" customHeight="1" x14ac:dyDescent="0.3">
      <c r="A7" s="24" t="s">
        <v>1409</v>
      </c>
      <c r="B7" s="24" t="s">
        <v>1410</v>
      </c>
      <c r="C7" s="24" t="s">
        <v>92</v>
      </c>
      <c r="D7" s="25">
        <v>249</v>
      </c>
      <c r="E7" s="25">
        <v>177</v>
      </c>
      <c r="F7" s="25">
        <v>264</v>
      </c>
      <c r="G7" s="25">
        <f t="shared" si="0"/>
        <v>690</v>
      </c>
      <c r="H7" s="25">
        <v>246</v>
      </c>
      <c r="I7" s="25">
        <v>184</v>
      </c>
      <c r="J7" s="13">
        <v>278</v>
      </c>
      <c r="K7" s="25">
        <v>708</v>
      </c>
      <c r="L7" s="25">
        <f t="shared" si="1"/>
        <v>-18</v>
      </c>
      <c r="M7" s="25">
        <f t="shared" si="2"/>
        <v>-2.5423728813559325</v>
      </c>
      <c r="N7" s="211"/>
      <c r="O7" s="211"/>
      <c r="P7" s="211"/>
      <c r="Q7" s="211"/>
      <c r="R7" s="211"/>
      <c r="S7" s="211"/>
      <c r="T7" s="211"/>
      <c r="U7" s="211"/>
      <c r="V7" s="211"/>
      <c r="W7" s="5"/>
      <c r="X7" s="5"/>
    </row>
    <row r="8" spans="1:24" ht="28.5" customHeight="1" x14ac:dyDescent="0.3">
      <c r="A8" s="24" t="s">
        <v>1411</v>
      </c>
      <c r="B8" s="24" t="s">
        <v>1412</v>
      </c>
      <c r="C8" s="24" t="s">
        <v>92</v>
      </c>
      <c r="D8" s="25">
        <v>92</v>
      </c>
      <c r="E8" s="25">
        <v>128</v>
      </c>
      <c r="F8" s="25">
        <v>14</v>
      </c>
      <c r="G8" s="25">
        <f t="shared" si="0"/>
        <v>234</v>
      </c>
      <c r="H8" s="25">
        <v>73</v>
      </c>
      <c r="I8" s="25">
        <v>118</v>
      </c>
      <c r="J8" s="13">
        <v>15</v>
      </c>
      <c r="K8" s="25">
        <v>206</v>
      </c>
      <c r="L8" s="25">
        <f t="shared" si="1"/>
        <v>28</v>
      </c>
      <c r="M8" s="25">
        <f t="shared" si="2"/>
        <v>13.592233009708737</v>
      </c>
      <c r="N8" s="211"/>
      <c r="O8" s="211"/>
      <c r="P8" s="211"/>
      <c r="Q8" s="211"/>
      <c r="R8" s="211"/>
      <c r="S8" s="211"/>
      <c r="T8" s="211"/>
      <c r="U8" s="211"/>
      <c r="V8" s="211"/>
      <c r="W8" s="5"/>
      <c r="X8" s="5"/>
    </row>
    <row r="9" spans="1:24" ht="28.5" customHeight="1" x14ac:dyDescent="0.3">
      <c r="A9" s="24" t="s">
        <v>1413</v>
      </c>
      <c r="B9" s="24" t="s">
        <v>1414</v>
      </c>
      <c r="C9" s="24" t="s">
        <v>92</v>
      </c>
      <c r="D9" s="25">
        <v>389</v>
      </c>
      <c r="E9" s="25">
        <v>359</v>
      </c>
      <c r="F9" s="25">
        <v>200</v>
      </c>
      <c r="G9" s="25">
        <f t="shared" si="0"/>
        <v>948</v>
      </c>
      <c r="H9" s="25">
        <v>382</v>
      </c>
      <c r="I9" s="25">
        <v>331</v>
      </c>
      <c r="J9" s="13">
        <v>205</v>
      </c>
      <c r="K9" s="25">
        <v>918</v>
      </c>
      <c r="L9" s="25">
        <f t="shared" si="1"/>
        <v>30</v>
      </c>
      <c r="M9" s="25">
        <f t="shared" si="2"/>
        <v>3.2679738562091507</v>
      </c>
      <c r="N9" s="211"/>
      <c r="O9" s="211"/>
      <c r="P9" s="211"/>
      <c r="Q9" s="211"/>
      <c r="R9" s="211"/>
      <c r="S9" s="211"/>
      <c r="T9" s="211"/>
      <c r="U9" s="211"/>
      <c r="V9" s="211"/>
      <c r="W9" s="5"/>
      <c r="X9" s="5"/>
    </row>
    <row r="10" spans="1:24" ht="28.5" customHeight="1" x14ac:dyDescent="0.3">
      <c r="A10" s="24" t="s">
        <v>1415</v>
      </c>
      <c r="B10" s="24" t="s">
        <v>1416</v>
      </c>
      <c r="C10" s="24" t="s">
        <v>92</v>
      </c>
      <c r="D10" s="25">
        <v>200</v>
      </c>
      <c r="E10" s="25">
        <v>406</v>
      </c>
      <c r="F10" s="25">
        <v>211</v>
      </c>
      <c r="G10" s="25">
        <f t="shared" si="0"/>
        <v>817</v>
      </c>
      <c r="H10" s="25">
        <v>184</v>
      </c>
      <c r="I10" s="25">
        <v>410</v>
      </c>
      <c r="J10" s="13">
        <v>219</v>
      </c>
      <c r="K10" s="25">
        <v>813</v>
      </c>
      <c r="L10" s="25">
        <f t="shared" si="1"/>
        <v>4</v>
      </c>
      <c r="M10" s="25">
        <f t="shared" si="2"/>
        <v>0.49200492004920049</v>
      </c>
      <c r="N10" s="211"/>
      <c r="O10" s="211"/>
      <c r="P10" s="211"/>
      <c r="Q10" s="211"/>
      <c r="R10" s="211"/>
      <c r="S10" s="211"/>
      <c r="T10" s="211"/>
      <c r="U10" s="211"/>
      <c r="V10" s="211"/>
      <c r="W10" s="5"/>
      <c r="X10" s="5"/>
    </row>
    <row r="11" spans="1:24" ht="28.5" customHeight="1" x14ac:dyDescent="0.3">
      <c r="A11" s="24" t="s">
        <v>1417</v>
      </c>
      <c r="B11" s="24" t="s">
        <v>390</v>
      </c>
      <c r="C11" s="24" t="s">
        <v>92</v>
      </c>
      <c r="D11" s="25">
        <v>80</v>
      </c>
      <c r="E11" s="25">
        <v>52</v>
      </c>
      <c r="F11" s="25">
        <v>102</v>
      </c>
      <c r="G11" s="25">
        <f t="shared" si="0"/>
        <v>234</v>
      </c>
      <c r="H11" s="25">
        <v>78</v>
      </c>
      <c r="I11" s="25">
        <v>51</v>
      </c>
      <c r="J11" s="13">
        <v>95</v>
      </c>
      <c r="K11" s="25">
        <v>224</v>
      </c>
      <c r="L11" s="25">
        <f t="shared" si="1"/>
        <v>10</v>
      </c>
      <c r="M11" s="25">
        <f t="shared" si="2"/>
        <v>4.4642857142857144</v>
      </c>
      <c r="N11" s="211"/>
      <c r="O11" s="211"/>
      <c r="P11" s="211"/>
      <c r="Q11" s="211"/>
      <c r="R11" s="211"/>
      <c r="S11" s="211"/>
      <c r="T11" s="211"/>
      <c r="U11" s="211"/>
      <c r="V11" s="211"/>
      <c r="W11" s="5"/>
      <c r="X11" s="5"/>
    </row>
    <row r="12" spans="1:24" ht="28.5" customHeight="1" x14ac:dyDescent="0.3">
      <c r="A12" s="30" t="s">
        <v>1418</v>
      </c>
      <c r="B12" s="30"/>
      <c r="C12" s="31" t="s">
        <v>92</v>
      </c>
      <c r="D12" s="22">
        <f t="shared" ref="D12:E12" si="3">D7+D8+D9+D10+D11</f>
        <v>1010</v>
      </c>
      <c r="E12" s="22">
        <f t="shared" si="3"/>
        <v>1122</v>
      </c>
      <c r="F12" s="213">
        <v>879</v>
      </c>
      <c r="G12" s="213">
        <v>3011</v>
      </c>
      <c r="H12" s="22">
        <v>963</v>
      </c>
      <c r="I12" s="22">
        <v>1094</v>
      </c>
      <c r="J12" s="21">
        <v>862</v>
      </c>
      <c r="K12" s="22">
        <v>2919</v>
      </c>
      <c r="L12" s="22">
        <f t="shared" si="1"/>
        <v>92</v>
      </c>
      <c r="M12" s="22">
        <f t="shared" si="2"/>
        <v>3.1517643028434397</v>
      </c>
      <c r="N12" s="212"/>
      <c r="O12" s="212"/>
      <c r="P12" s="212"/>
      <c r="Q12" s="212"/>
      <c r="R12" s="212"/>
      <c r="S12" s="212"/>
      <c r="T12" s="212"/>
      <c r="U12" s="212"/>
      <c r="V12" s="212"/>
      <c r="W12" s="5"/>
      <c r="X12" s="5"/>
    </row>
    <row r="13" spans="1:24" ht="28.5" customHeight="1" x14ac:dyDescent="0.3">
      <c r="A13" s="24" t="s">
        <v>1419</v>
      </c>
      <c r="B13" s="24" t="s">
        <v>1420</v>
      </c>
      <c r="C13" s="24" t="s">
        <v>49</v>
      </c>
      <c r="D13" s="25">
        <v>187</v>
      </c>
      <c r="E13" s="25">
        <v>246</v>
      </c>
      <c r="F13" s="25">
        <v>103</v>
      </c>
      <c r="G13" s="25">
        <f t="shared" ref="G13:G46" si="4">D13+E13+F13</f>
        <v>536</v>
      </c>
      <c r="H13" s="25">
        <v>168</v>
      </c>
      <c r="I13" s="25">
        <v>212</v>
      </c>
      <c r="J13" s="13">
        <v>104</v>
      </c>
      <c r="K13" s="25">
        <v>484</v>
      </c>
      <c r="L13" s="25">
        <f t="shared" si="1"/>
        <v>52</v>
      </c>
      <c r="M13" s="25">
        <f t="shared" si="2"/>
        <v>10.743801652892563</v>
      </c>
      <c r="N13" s="211"/>
      <c r="O13" s="211"/>
      <c r="P13" s="211"/>
      <c r="Q13" s="211"/>
      <c r="R13" s="211"/>
      <c r="S13" s="211"/>
      <c r="T13" s="211"/>
      <c r="U13" s="211"/>
      <c r="V13" s="211"/>
      <c r="W13" s="5"/>
      <c r="X13" s="5"/>
    </row>
    <row r="14" spans="1:24" ht="28.5" customHeight="1" x14ac:dyDescent="0.3">
      <c r="A14" s="24" t="s">
        <v>1421</v>
      </c>
      <c r="B14" s="24" t="s">
        <v>1422</v>
      </c>
      <c r="C14" s="24" t="s">
        <v>49</v>
      </c>
      <c r="D14" s="25">
        <v>42</v>
      </c>
      <c r="E14" s="25">
        <v>96</v>
      </c>
      <c r="F14" s="25">
        <v>14</v>
      </c>
      <c r="G14" s="25">
        <f t="shared" si="4"/>
        <v>152</v>
      </c>
      <c r="H14" s="25"/>
      <c r="I14" s="25"/>
      <c r="J14" s="13"/>
      <c r="K14" s="25"/>
      <c r="L14" s="25"/>
      <c r="M14" s="25"/>
      <c r="N14" s="211"/>
      <c r="O14" s="211"/>
      <c r="P14" s="211"/>
      <c r="Q14" s="211"/>
      <c r="R14" s="211"/>
      <c r="S14" s="211"/>
      <c r="T14" s="211"/>
      <c r="U14" s="211"/>
      <c r="V14" s="211"/>
      <c r="W14" s="5"/>
      <c r="X14" s="5"/>
    </row>
    <row r="15" spans="1:24" ht="28.5" customHeight="1" x14ac:dyDescent="0.3">
      <c r="A15" s="24" t="s">
        <v>1341</v>
      </c>
      <c r="B15" s="24" t="s">
        <v>1342</v>
      </c>
      <c r="C15" s="153" t="s">
        <v>49</v>
      </c>
      <c r="D15" s="25">
        <v>61</v>
      </c>
      <c r="E15" s="25">
        <v>0</v>
      </c>
      <c r="F15" s="25">
        <v>6</v>
      </c>
      <c r="G15" s="25">
        <f t="shared" si="4"/>
        <v>67</v>
      </c>
      <c r="H15" s="25">
        <v>0</v>
      </c>
      <c r="I15" s="25">
        <v>176</v>
      </c>
      <c r="J15" s="13">
        <v>0</v>
      </c>
      <c r="K15" s="25">
        <v>176</v>
      </c>
      <c r="L15" s="25">
        <f t="shared" ref="L15:L63" si="5">G15-K15</f>
        <v>-109</v>
      </c>
      <c r="M15" s="25">
        <f>(L15/K15)*100</f>
        <v>-61.93181818181818</v>
      </c>
      <c r="N15" s="211"/>
      <c r="O15" s="211"/>
      <c r="P15" s="211"/>
      <c r="Q15" s="211"/>
      <c r="R15" s="211"/>
      <c r="S15" s="211"/>
      <c r="T15" s="211"/>
      <c r="U15" s="211"/>
      <c r="V15" s="211"/>
      <c r="W15" s="5"/>
      <c r="X15" s="5"/>
    </row>
    <row r="16" spans="1:24" ht="28.5" customHeight="1" x14ac:dyDescent="0.3">
      <c r="A16" s="24" t="s">
        <v>1423</v>
      </c>
      <c r="B16" s="24" t="s">
        <v>1424</v>
      </c>
      <c r="C16" s="153" t="s">
        <v>49</v>
      </c>
      <c r="D16" s="25">
        <v>9</v>
      </c>
      <c r="E16" s="25">
        <v>26</v>
      </c>
      <c r="F16" s="25">
        <v>8</v>
      </c>
      <c r="G16" s="25">
        <f t="shared" si="4"/>
        <v>43</v>
      </c>
      <c r="H16" s="25">
        <v>0</v>
      </c>
      <c r="I16" s="25">
        <v>0</v>
      </c>
      <c r="J16" s="13">
        <v>0</v>
      </c>
      <c r="K16" s="25">
        <v>0</v>
      </c>
      <c r="L16" s="25">
        <f t="shared" si="5"/>
        <v>43</v>
      </c>
      <c r="M16" s="25" t="s">
        <v>67</v>
      </c>
      <c r="N16" s="211"/>
      <c r="O16" s="211"/>
      <c r="P16" s="211"/>
      <c r="Q16" s="211"/>
      <c r="R16" s="211"/>
      <c r="S16" s="211"/>
      <c r="T16" s="211"/>
      <c r="U16" s="211"/>
      <c r="V16" s="211"/>
      <c r="W16" s="5"/>
      <c r="X16" s="5"/>
    </row>
    <row r="17" spans="1:24" ht="28.5" customHeight="1" x14ac:dyDescent="0.3">
      <c r="A17" s="30" t="s">
        <v>198</v>
      </c>
      <c r="B17" s="30"/>
      <c r="C17" s="31" t="s">
        <v>49</v>
      </c>
      <c r="D17" s="22">
        <f t="shared" ref="D17:F17" si="6">D13+D14+D15+D16</f>
        <v>299</v>
      </c>
      <c r="E17" s="22">
        <f t="shared" si="6"/>
        <v>368</v>
      </c>
      <c r="F17" s="22">
        <f t="shared" si="6"/>
        <v>131</v>
      </c>
      <c r="G17" s="22">
        <f t="shared" si="4"/>
        <v>798</v>
      </c>
      <c r="H17" s="22">
        <v>168</v>
      </c>
      <c r="I17" s="22">
        <v>388</v>
      </c>
      <c r="J17" s="21">
        <v>568</v>
      </c>
      <c r="K17" s="22">
        <v>1124</v>
      </c>
      <c r="L17" s="22">
        <f t="shared" si="5"/>
        <v>-326</v>
      </c>
      <c r="M17" s="22">
        <f t="shared" ref="M17:M63" si="7">(L17/K17)*100</f>
        <v>-29.003558718861211</v>
      </c>
      <c r="N17" s="212"/>
      <c r="O17" s="212"/>
      <c r="P17" s="212"/>
      <c r="Q17" s="212"/>
      <c r="R17" s="212"/>
      <c r="S17" s="212"/>
      <c r="T17" s="212"/>
      <c r="U17" s="212"/>
      <c r="V17" s="212"/>
      <c r="W17" s="5"/>
      <c r="X17" s="5"/>
    </row>
    <row r="18" spans="1:24" ht="28.5" customHeight="1" x14ac:dyDescent="0.3">
      <c r="A18" s="66" t="s">
        <v>1425</v>
      </c>
      <c r="B18" s="66" t="s">
        <v>1426</v>
      </c>
      <c r="C18" s="66" t="s">
        <v>113</v>
      </c>
      <c r="D18" s="49">
        <v>0</v>
      </c>
      <c r="E18" s="14">
        <v>320</v>
      </c>
      <c r="F18" s="14">
        <v>146</v>
      </c>
      <c r="G18" s="25">
        <f t="shared" si="4"/>
        <v>466</v>
      </c>
      <c r="H18" s="14">
        <v>0</v>
      </c>
      <c r="I18" s="14">
        <v>300</v>
      </c>
      <c r="J18" s="13">
        <v>112</v>
      </c>
      <c r="K18" s="25">
        <v>412</v>
      </c>
      <c r="L18" s="25">
        <f t="shared" si="5"/>
        <v>54</v>
      </c>
      <c r="M18" s="25">
        <f t="shared" si="7"/>
        <v>13.106796116504855</v>
      </c>
      <c r="N18" s="214"/>
      <c r="O18" s="215"/>
      <c r="P18" s="215"/>
      <c r="Q18" s="215"/>
      <c r="R18" s="215"/>
      <c r="S18" s="215"/>
      <c r="T18" s="215"/>
      <c r="U18" s="215"/>
      <c r="V18" s="215"/>
      <c r="W18" s="5"/>
      <c r="X18" s="5"/>
    </row>
    <row r="19" spans="1:24" ht="28.5" customHeight="1" x14ac:dyDescent="0.3">
      <c r="A19" s="66" t="s">
        <v>1427</v>
      </c>
      <c r="B19" s="66" t="s">
        <v>1428</v>
      </c>
      <c r="C19" s="66" t="s">
        <v>113</v>
      </c>
      <c r="D19" s="49">
        <v>0</v>
      </c>
      <c r="E19" s="14">
        <v>445</v>
      </c>
      <c r="F19" s="14">
        <v>193</v>
      </c>
      <c r="G19" s="25">
        <f t="shared" si="4"/>
        <v>638</v>
      </c>
      <c r="H19" s="14">
        <v>0</v>
      </c>
      <c r="I19" s="14">
        <v>517</v>
      </c>
      <c r="J19" s="13">
        <v>167</v>
      </c>
      <c r="K19" s="25">
        <v>684</v>
      </c>
      <c r="L19" s="25">
        <f t="shared" si="5"/>
        <v>-46</v>
      </c>
      <c r="M19" s="25">
        <f t="shared" si="7"/>
        <v>-6.7251461988304087</v>
      </c>
      <c r="N19" s="214"/>
      <c r="O19" s="215"/>
      <c r="P19" s="215"/>
      <c r="Q19" s="215"/>
      <c r="R19" s="215"/>
      <c r="S19" s="215"/>
      <c r="T19" s="215"/>
      <c r="U19" s="215"/>
      <c r="V19" s="215"/>
      <c r="W19" s="5"/>
      <c r="X19" s="5"/>
    </row>
    <row r="20" spans="1:24" ht="28.5" customHeight="1" x14ac:dyDescent="0.3">
      <c r="A20" s="66" t="s">
        <v>1429</v>
      </c>
      <c r="B20" s="66" t="s">
        <v>1430</v>
      </c>
      <c r="C20" s="66" t="s">
        <v>113</v>
      </c>
      <c r="D20" s="49">
        <v>41</v>
      </c>
      <c r="E20" s="14">
        <v>72</v>
      </c>
      <c r="F20" s="14">
        <v>0</v>
      </c>
      <c r="G20" s="25">
        <f t="shared" si="4"/>
        <v>113</v>
      </c>
      <c r="H20" s="14">
        <v>22</v>
      </c>
      <c r="I20" s="14">
        <v>34</v>
      </c>
      <c r="J20" s="13">
        <v>0</v>
      </c>
      <c r="K20" s="25">
        <v>56</v>
      </c>
      <c r="L20" s="25">
        <f t="shared" si="5"/>
        <v>57</v>
      </c>
      <c r="M20" s="25">
        <f t="shared" si="7"/>
        <v>101.78571428571428</v>
      </c>
      <c r="N20" s="214"/>
      <c r="O20" s="215"/>
      <c r="P20" s="215"/>
      <c r="Q20" s="215"/>
      <c r="R20" s="215"/>
      <c r="S20" s="215"/>
      <c r="T20" s="215"/>
      <c r="U20" s="215"/>
      <c r="V20" s="215"/>
      <c r="W20" s="5"/>
      <c r="X20" s="5"/>
    </row>
    <row r="21" spans="1:24" ht="28.5" customHeight="1" x14ac:dyDescent="0.3">
      <c r="A21" s="30" t="s">
        <v>1431</v>
      </c>
      <c r="B21" s="30"/>
      <c r="C21" s="31" t="s">
        <v>113</v>
      </c>
      <c r="D21" s="22">
        <f t="shared" ref="D21:F21" si="8">D18+D19+D20</f>
        <v>41</v>
      </c>
      <c r="E21" s="22">
        <f t="shared" si="8"/>
        <v>837</v>
      </c>
      <c r="F21" s="22">
        <f t="shared" si="8"/>
        <v>339</v>
      </c>
      <c r="G21" s="22">
        <f t="shared" si="4"/>
        <v>1217</v>
      </c>
      <c r="H21" s="22">
        <v>22</v>
      </c>
      <c r="I21" s="22">
        <v>851</v>
      </c>
      <c r="J21" s="21">
        <v>279</v>
      </c>
      <c r="K21" s="22">
        <v>1152</v>
      </c>
      <c r="L21" s="22">
        <f t="shared" si="5"/>
        <v>65</v>
      </c>
      <c r="M21" s="22">
        <f t="shared" si="7"/>
        <v>5.6423611111111116</v>
      </c>
      <c r="N21" s="214"/>
      <c r="O21" s="215"/>
      <c r="P21" s="215"/>
      <c r="Q21" s="215"/>
      <c r="R21" s="215"/>
      <c r="S21" s="215"/>
      <c r="T21" s="215"/>
      <c r="U21" s="215"/>
      <c r="V21" s="215"/>
      <c r="W21" s="5"/>
      <c r="X21" s="5"/>
    </row>
    <row r="22" spans="1:24" ht="28.5" customHeight="1" x14ac:dyDescent="0.3">
      <c r="A22" s="24" t="s">
        <v>1432</v>
      </c>
      <c r="B22" s="24" t="s">
        <v>1433</v>
      </c>
      <c r="C22" s="24" t="s">
        <v>201</v>
      </c>
      <c r="D22" s="25">
        <v>537</v>
      </c>
      <c r="E22" s="25">
        <v>929</v>
      </c>
      <c r="F22" s="25">
        <v>1195</v>
      </c>
      <c r="G22" s="25">
        <f t="shared" si="4"/>
        <v>2661</v>
      </c>
      <c r="H22" s="25">
        <v>584</v>
      </c>
      <c r="I22" s="25">
        <v>1149</v>
      </c>
      <c r="J22" s="13">
        <v>1279</v>
      </c>
      <c r="K22" s="25">
        <v>3012</v>
      </c>
      <c r="L22" s="25">
        <f t="shared" si="5"/>
        <v>-351</v>
      </c>
      <c r="M22" s="25">
        <f t="shared" si="7"/>
        <v>-11.653386454183266</v>
      </c>
      <c r="N22" s="211"/>
      <c r="O22" s="211"/>
      <c r="P22" s="211"/>
      <c r="Q22" s="211"/>
      <c r="R22" s="211"/>
      <c r="S22" s="211"/>
      <c r="T22" s="211"/>
      <c r="U22" s="211"/>
      <c r="V22" s="211"/>
      <c r="W22" s="5"/>
      <c r="X22" s="5"/>
    </row>
    <row r="23" spans="1:24" ht="28.5" customHeight="1" x14ac:dyDescent="0.3">
      <c r="A23" s="24" t="s">
        <v>1434</v>
      </c>
      <c r="B23" s="24" t="s">
        <v>1433</v>
      </c>
      <c r="C23" s="24" t="s">
        <v>201</v>
      </c>
      <c r="D23" s="25">
        <v>374</v>
      </c>
      <c r="E23" s="25">
        <v>267</v>
      </c>
      <c r="F23" s="25">
        <v>292</v>
      </c>
      <c r="G23" s="25">
        <f t="shared" si="4"/>
        <v>933</v>
      </c>
      <c r="H23" s="25">
        <v>334</v>
      </c>
      <c r="I23" s="25">
        <v>289</v>
      </c>
      <c r="J23" s="13">
        <v>260</v>
      </c>
      <c r="K23" s="25">
        <v>883</v>
      </c>
      <c r="L23" s="25">
        <f t="shared" si="5"/>
        <v>50</v>
      </c>
      <c r="M23" s="25">
        <f t="shared" si="7"/>
        <v>5.6625141562853907</v>
      </c>
      <c r="N23" s="211"/>
      <c r="O23" s="211"/>
      <c r="P23" s="211"/>
      <c r="Q23" s="211"/>
      <c r="R23" s="211"/>
      <c r="S23" s="211"/>
      <c r="T23" s="211"/>
      <c r="U23" s="211"/>
      <c r="V23" s="211"/>
      <c r="W23" s="5"/>
      <c r="X23" s="5"/>
    </row>
    <row r="24" spans="1:24" ht="28.5" customHeight="1" x14ac:dyDescent="0.3">
      <c r="A24" s="24" t="s">
        <v>1435</v>
      </c>
      <c r="B24" s="24" t="s">
        <v>1436</v>
      </c>
      <c r="C24" s="24" t="s">
        <v>201</v>
      </c>
      <c r="D24" s="25">
        <v>131</v>
      </c>
      <c r="E24" s="25">
        <v>32</v>
      </c>
      <c r="F24" s="25">
        <v>169</v>
      </c>
      <c r="G24" s="25">
        <f t="shared" si="4"/>
        <v>332</v>
      </c>
      <c r="H24" s="25">
        <v>129</v>
      </c>
      <c r="I24" s="25">
        <v>46</v>
      </c>
      <c r="J24" s="13">
        <v>169</v>
      </c>
      <c r="K24" s="25">
        <v>344</v>
      </c>
      <c r="L24" s="25">
        <f t="shared" si="5"/>
        <v>-12</v>
      </c>
      <c r="M24" s="25">
        <f t="shared" si="7"/>
        <v>-3.4883720930232558</v>
      </c>
      <c r="N24" s="211"/>
      <c r="O24" s="211"/>
      <c r="P24" s="211"/>
      <c r="Q24" s="211"/>
      <c r="R24" s="211"/>
      <c r="S24" s="211"/>
      <c r="T24" s="211"/>
      <c r="U24" s="211"/>
      <c r="V24" s="211"/>
      <c r="W24" s="5"/>
      <c r="X24" s="5"/>
    </row>
    <row r="25" spans="1:24" ht="28.5" customHeight="1" x14ac:dyDescent="0.3">
      <c r="A25" s="24" t="s">
        <v>1437</v>
      </c>
      <c r="B25" s="153" t="s">
        <v>1433</v>
      </c>
      <c r="C25" s="24" t="s">
        <v>201</v>
      </c>
      <c r="D25" s="25">
        <v>24</v>
      </c>
      <c r="E25" s="25">
        <v>100</v>
      </c>
      <c r="F25" s="25">
        <v>37</v>
      </c>
      <c r="G25" s="25">
        <f t="shared" si="4"/>
        <v>161</v>
      </c>
      <c r="H25" s="25"/>
      <c r="I25" s="25"/>
      <c r="J25" s="13"/>
      <c r="K25" s="88">
        <v>122</v>
      </c>
      <c r="L25" s="25">
        <f t="shared" si="5"/>
        <v>39</v>
      </c>
      <c r="M25" s="25">
        <f t="shared" si="7"/>
        <v>31.967213114754102</v>
      </c>
      <c r="N25" s="211"/>
      <c r="O25" s="211"/>
      <c r="P25" s="211"/>
      <c r="Q25" s="211"/>
      <c r="R25" s="211"/>
      <c r="S25" s="211"/>
      <c r="T25" s="211"/>
      <c r="U25" s="211"/>
      <c r="V25" s="211"/>
      <c r="W25" s="5"/>
      <c r="X25" s="5"/>
    </row>
    <row r="26" spans="1:24" ht="28.5" customHeight="1" x14ac:dyDescent="0.3">
      <c r="A26" s="30" t="s">
        <v>1025</v>
      </c>
      <c r="B26" s="30"/>
      <c r="C26" s="31" t="s">
        <v>201</v>
      </c>
      <c r="D26" s="213">
        <v>1206</v>
      </c>
      <c r="E26" s="213">
        <v>1501</v>
      </c>
      <c r="F26" s="213">
        <v>2002</v>
      </c>
      <c r="G26" s="22">
        <f t="shared" si="4"/>
        <v>4709</v>
      </c>
      <c r="H26" s="22">
        <v>1047</v>
      </c>
      <c r="I26" s="22">
        <v>1484</v>
      </c>
      <c r="J26" s="21">
        <v>2038</v>
      </c>
      <c r="K26" s="22">
        <v>4569</v>
      </c>
      <c r="L26" s="22">
        <f t="shared" si="5"/>
        <v>140</v>
      </c>
      <c r="M26" s="22">
        <f t="shared" si="7"/>
        <v>3.0641278179032612</v>
      </c>
      <c r="N26" s="212"/>
      <c r="O26" s="212"/>
      <c r="P26" s="212"/>
      <c r="Q26" s="212"/>
      <c r="R26" s="212"/>
      <c r="S26" s="212"/>
      <c r="T26" s="212"/>
      <c r="U26" s="212"/>
      <c r="V26" s="212"/>
      <c r="W26" s="5"/>
      <c r="X26" s="5"/>
    </row>
    <row r="27" spans="1:24" ht="28.5" customHeight="1" x14ac:dyDescent="0.3">
      <c r="A27" s="24" t="s">
        <v>1438</v>
      </c>
      <c r="B27" s="24" t="s">
        <v>1439</v>
      </c>
      <c r="C27" s="24" t="s">
        <v>129</v>
      </c>
      <c r="D27" s="25">
        <v>129</v>
      </c>
      <c r="E27" s="25">
        <v>10</v>
      </c>
      <c r="F27" s="25">
        <v>777</v>
      </c>
      <c r="G27" s="25">
        <f t="shared" si="4"/>
        <v>916</v>
      </c>
      <c r="H27" s="25">
        <v>139</v>
      </c>
      <c r="I27" s="25">
        <v>0</v>
      </c>
      <c r="J27" s="13">
        <v>1195</v>
      </c>
      <c r="K27" s="25">
        <v>1334</v>
      </c>
      <c r="L27" s="25">
        <f t="shared" si="5"/>
        <v>-418</v>
      </c>
      <c r="M27" s="25">
        <f t="shared" si="7"/>
        <v>-31.334332833583208</v>
      </c>
      <c r="N27" s="211"/>
      <c r="O27" s="211"/>
      <c r="P27" s="211"/>
      <c r="Q27" s="211"/>
      <c r="R27" s="211"/>
      <c r="S27" s="211"/>
      <c r="T27" s="211"/>
      <c r="U27" s="211"/>
      <c r="V27" s="211"/>
      <c r="W27" s="5"/>
      <c r="X27" s="5"/>
    </row>
    <row r="28" spans="1:24" ht="28.5" customHeight="1" x14ac:dyDescent="0.3">
      <c r="A28" s="24" t="s">
        <v>1440</v>
      </c>
      <c r="B28" s="24" t="s">
        <v>1441</v>
      </c>
      <c r="C28" s="24" t="s">
        <v>113</v>
      </c>
      <c r="D28" s="25">
        <v>656</v>
      </c>
      <c r="E28" s="25">
        <v>30</v>
      </c>
      <c r="F28" s="25">
        <v>665</v>
      </c>
      <c r="G28" s="25">
        <f t="shared" si="4"/>
        <v>1351</v>
      </c>
      <c r="H28" s="25">
        <v>709</v>
      </c>
      <c r="I28" s="25">
        <v>33</v>
      </c>
      <c r="J28" s="13">
        <v>617</v>
      </c>
      <c r="K28" s="25">
        <v>1359</v>
      </c>
      <c r="L28" s="25">
        <f t="shared" si="5"/>
        <v>-8</v>
      </c>
      <c r="M28" s="25">
        <f t="shared" si="7"/>
        <v>-0.58866813833701248</v>
      </c>
      <c r="N28" s="211"/>
      <c r="O28" s="211"/>
      <c r="P28" s="211"/>
      <c r="Q28" s="211"/>
      <c r="R28" s="211"/>
      <c r="S28" s="211"/>
      <c r="T28" s="211"/>
      <c r="U28" s="211"/>
      <c r="V28" s="211"/>
      <c r="W28" s="5"/>
      <c r="X28" s="5"/>
    </row>
    <row r="29" spans="1:24" ht="28.5" customHeight="1" x14ac:dyDescent="0.3">
      <c r="A29" s="24" t="s">
        <v>1442</v>
      </c>
      <c r="B29" s="24" t="s">
        <v>1443</v>
      </c>
      <c r="C29" s="24" t="s">
        <v>258</v>
      </c>
      <c r="D29" s="25">
        <v>46</v>
      </c>
      <c r="E29" s="25">
        <v>64</v>
      </c>
      <c r="F29" s="25">
        <v>128</v>
      </c>
      <c r="G29" s="25">
        <f t="shared" si="4"/>
        <v>238</v>
      </c>
      <c r="H29" s="25">
        <v>51</v>
      </c>
      <c r="I29" s="25">
        <v>133</v>
      </c>
      <c r="J29" s="13">
        <v>127</v>
      </c>
      <c r="K29" s="25">
        <v>311</v>
      </c>
      <c r="L29" s="25">
        <f t="shared" si="5"/>
        <v>-73</v>
      </c>
      <c r="M29" s="25">
        <f t="shared" si="7"/>
        <v>-23.472668810289392</v>
      </c>
      <c r="N29" s="211"/>
      <c r="O29" s="211"/>
      <c r="P29" s="211"/>
      <c r="Q29" s="211"/>
      <c r="R29" s="211"/>
      <c r="S29" s="211"/>
      <c r="T29" s="211"/>
      <c r="U29" s="211"/>
      <c r="V29" s="211"/>
      <c r="W29" s="5"/>
      <c r="X29" s="5"/>
    </row>
    <row r="30" spans="1:24" ht="28.5" customHeight="1" x14ac:dyDescent="0.3">
      <c r="A30" s="24" t="s">
        <v>1444</v>
      </c>
      <c r="B30" s="24" t="s">
        <v>1445</v>
      </c>
      <c r="C30" s="24" t="s">
        <v>129</v>
      </c>
      <c r="D30" s="25">
        <v>100</v>
      </c>
      <c r="E30" s="25">
        <v>22</v>
      </c>
      <c r="F30" s="25">
        <v>432</v>
      </c>
      <c r="G30" s="25">
        <f t="shared" si="4"/>
        <v>554</v>
      </c>
      <c r="H30" s="25">
        <v>113</v>
      </c>
      <c r="I30" s="25">
        <v>26</v>
      </c>
      <c r="J30" s="13">
        <v>535</v>
      </c>
      <c r="K30" s="25">
        <v>674</v>
      </c>
      <c r="L30" s="25">
        <f t="shared" si="5"/>
        <v>-120</v>
      </c>
      <c r="M30" s="25">
        <f t="shared" si="7"/>
        <v>-17.804154302670625</v>
      </c>
      <c r="N30" s="211"/>
      <c r="O30" s="211"/>
      <c r="P30" s="211"/>
      <c r="Q30" s="211"/>
      <c r="R30" s="211"/>
      <c r="S30" s="211"/>
      <c r="T30" s="211"/>
      <c r="U30" s="211"/>
      <c r="V30" s="211"/>
      <c r="W30" s="5"/>
      <c r="X30" s="5"/>
    </row>
    <row r="31" spans="1:24" ht="28.5" customHeight="1" x14ac:dyDescent="0.3">
      <c r="A31" s="24" t="s">
        <v>1446</v>
      </c>
      <c r="B31" s="24" t="s">
        <v>1447</v>
      </c>
      <c r="C31" s="24" t="s">
        <v>126</v>
      </c>
      <c r="D31" s="25">
        <v>20</v>
      </c>
      <c r="E31" s="25">
        <v>131</v>
      </c>
      <c r="F31" s="25">
        <v>41</v>
      </c>
      <c r="G31" s="25">
        <f t="shared" si="4"/>
        <v>192</v>
      </c>
      <c r="H31" s="25">
        <v>25</v>
      </c>
      <c r="I31" s="25">
        <v>211</v>
      </c>
      <c r="J31" s="13">
        <v>73</v>
      </c>
      <c r="K31" s="25">
        <v>309</v>
      </c>
      <c r="L31" s="25">
        <f t="shared" si="5"/>
        <v>-117</v>
      </c>
      <c r="M31" s="25">
        <f t="shared" si="7"/>
        <v>-37.864077669902912</v>
      </c>
      <c r="N31" s="211"/>
      <c r="O31" s="211"/>
      <c r="P31" s="211"/>
      <c r="Q31" s="211"/>
      <c r="R31" s="211"/>
      <c r="S31" s="211"/>
      <c r="T31" s="211"/>
      <c r="U31" s="211"/>
      <c r="V31" s="211"/>
      <c r="W31" s="5"/>
      <c r="X31" s="5"/>
    </row>
    <row r="32" spans="1:24" ht="28.5" customHeight="1" x14ac:dyDescent="0.3">
      <c r="A32" s="24" t="s">
        <v>1448</v>
      </c>
      <c r="B32" s="24" t="s">
        <v>1449</v>
      </c>
      <c r="C32" s="24" t="s">
        <v>49</v>
      </c>
      <c r="D32" s="25">
        <v>55</v>
      </c>
      <c r="E32" s="25">
        <v>123</v>
      </c>
      <c r="F32" s="25">
        <v>36</v>
      </c>
      <c r="G32" s="25">
        <f t="shared" si="4"/>
        <v>214</v>
      </c>
      <c r="H32" s="25">
        <v>49</v>
      </c>
      <c r="I32" s="25">
        <v>115</v>
      </c>
      <c r="J32" s="13">
        <v>34</v>
      </c>
      <c r="K32" s="25">
        <v>198</v>
      </c>
      <c r="L32" s="25">
        <f t="shared" si="5"/>
        <v>16</v>
      </c>
      <c r="M32" s="25">
        <f t="shared" si="7"/>
        <v>8.0808080808080813</v>
      </c>
      <c r="N32" s="211"/>
      <c r="O32" s="211"/>
      <c r="P32" s="211"/>
      <c r="Q32" s="211"/>
      <c r="R32" s="211"/>
      <c r="S32" s="211"/>
      <c r="T32" s="211"/>
      <c r="U32" s="211"/>
      <c r="V32" s="211"/>
      <c r="W32" s="5"/>
      <c r="X32" s="5"/>
    </row>
    <row r="33" spans="1:24" ht="28.5" customHeight="1" x14ac:dyDescent="0.3">
      <c r="A33" s="24" t="s">
        <v>1450</v>
      </c>
      <c r="B33" s="24" t="s">
        <v>1451</v>
      </c>
      <c r="C33" s="24" t="s">
        <v>49</v>
      </c>
      <c r="D33" s="25">
        <v>29</v>
      </c>
      <c r="E33" s="25">
        <v>191</v>
      </c>
      <c r="F33" s="25">
        <v>96</v>
      </c>
      <c r="G33" s="25">
        <f t="shared" si="4"/>
        <v>316</v>
      </c>
      <c r="H33" s="25">
        <v>36</v>
      </c>
      <c r="I33" s="25">
        <v>198</v>
      </c>
      <c r="J33" s="13">
        <v>120</v>
      </c>
      <c r="K33" s="25">
        <v>354</v>
      </c>
      <c r="L33" s="25">
        <f t="shared" si="5"/>
        <v>-38</v>
      </c>
      <c r="M33" s="25">
        <f t="shared" si="7"/>
        <v>-10.734463276836157</v>
      </c>
      <c r="N33" s="211"/>
      <c r="O33" s="211"/>
      <c r="P33" s="211"/>
      <c r="Q33" s="211"/>
      <c r="R33" s="211"/>
      <c r="S33" s="211"/>
      <c r="T33" s="211"/>
      <c r="U33" s="211"/>
      <c r="V33" s="211"/>
      <c r="W33" s="5"/>
      <c r="X33" s="5"/>
    </row>
    <row r="34" spans="1:24" ht="28.5" customHeight="1" x14ac:dyDescent="0.3">
      <c r="A34" s="24" t="s">
        <v>1452</v>
      </c>
      <c r="B34" s="24" t="s">
        <v>1453</v>
      </c>
      <c r="C34" s="24" t="s">
        <v>49</v>
      </c>
      <c r="D34" s="25">
        <v>2</v>
      </c>
      <c r="E34" s="25">
        <v>0</v>
      </c>
      <c r="F34" s="25">
        <v>158</v>
      </c>
      <c r="G34" s="25">
        <f t="shared" si="4"/>
        <v>160</v>
      </c>
      <c r="H34" s="25">
        <v>4</v>
      </c>
      <c r="I34" s="25">
        <v>-1</v>
      </c>
      <c r="J34" s="13">
        <v>170</v>
      </c>
      <c r="K34" s="25">
        <v>173</v>
      </c>
      <c r="L34" s="25">
        <f t="shared" si="5"/>
        <v>-13</v>
      </c>
      <c r="M34" s="25">
        <f t="shared" si="7"/>
        <v>-7.5144508670520231</v>
      </c>
      <c r="N34" s="211"/>
      <c r="O34" s="211"/>
      <c r="P34" s="211"/>
      <c r="Q34" s="211"/>
      <c r="R34" s="211"/>
      <c r="S34" s="211"/>
      <c r="T34" s="211"/>
      <c r="U34" s="211"/>
      <c r="V34" s="211"/>
      <c r="W34" s="5"/>
      <c r="X34" s="5"/>
    </row>
    <row r="35" spans="1:24" ht="28.5" customHeight="1" x14ac:dyDescent="0.3">
      <c r="A35" s="24" t="s">
        <v>1454</v>
      </c>
      <c r="B35" s="24" t="s">
        <v>1455</v>
      </c>
      <c r="C35" s="24" t="s">
        <v>49</v>
      </c>
      <c r="D35" s="25">
        <v>2</v>
      </c>
      <c r="E35" s="25">
        <v>1</v>
      </c>
      <c r="F35" s="25">
        <v>195</v>
      </c>
      <c r="G35" s="25">
        <f t="shared" si="4"/>
        <v>198</v>
      </c>
      <c r="H35" s="25">
        <v>2</v>
      </c>
      <c r="I35" s="25">
        <v>-6</v>
      </c>
      <c r="J35" s="13">
        <v>207</v>
      </c>
      <c r="K35" s="25">
        <v>203</v>
      </c>
      <c r="L35" s="25">
        <f t="shared" si="5"/>
        <v>-5</v>
      </c>
      <c r="M35" s="25">
        <f t="shared" si="7"/>
        <v>-2.4630541871921183</v>
      </c>
      <c r="N35" s="211"/>
      <c r="O35" s="211"/>
      <c r="P35" s="211"/>
      <c r="Q35" s="211"/>
      <c r="R35" s="211"/>
      <c r="S35" s="211"/>
      <c r="T35" s="211"/>
      <c r="U35" s="211"/>
      <c r="V35" s="211"/>
      <c r="W35" s="5"/>
      <c r="X35" s="5"/>
    </row>
    <row r="36" spans="1:24" ht="28.5" customHeight="1" x14ac:dyDescent="0.3">
      <c r="A36" s="24" t="s">
        <v>1343</v>
      </c>
      <c r="B36" s="24" t="s">
        <v>1344</v>
      </c>
      <c r="C36" s="24" t="s">
        <v>129</v>
      </c>
      <c r="D36" s="25">
        <v>121</v>
      </c>
      <c r="E36" s="25">
        <v>106</v>
      </c>
      <c r="F36" s="25">
        <v>34</v>
      </c>
      <c r="G36" s="25">
        <f t="shared" si="4"/>
        <v>261</v>
      </c>
      <c r="H36" s="25">
        <v>107</v>
      </c>
      <c r="I36" s="25">
        <v>112</v>
      </c>
      <c r="J36" s="13">
        <v>39</v>
      </c>
      <c r="K36" s="25">
        <v>258</v>
      </c>
      <c r="L36" s="25">
        <f t="shared" si="5"/>
        <v>3</v>
      </c>
      <c r="M36" s="25">
        <f t="shared" si="7"/>
        <v>1.1627906976744187</v>
      </c>
      <c r="N36" s="212"/>
      <c r="O36" s="212"/>
      <c r="P36" s="212"/>
      <c r="Q36" s="212"/>
      <c r="R36" s="212"/>
      <c r="S36" s="212"/>
      <c r="T36" s="212"/>
      <c r="U36" s="212"/>
      <c r="V36" s="212"/>
      <c r="W36" s="5"/>
      <c r="X36" s="5"/>
    </row>
    <row r="37" spans="1:24" ht="28.5" customHeight="1" x14ac:dyDescent="0.3">
      <c r="A37" s="24" t="s">
        <v>1456</v>
      </c>
      <c r="B37" s="24" t="s">
        <v>1457</v>
      </c>
      <c r="C37" s="24" t="s">
        <v>129</v>
      </c>
      <c r="D37" s="25">
        <v>24</v>
      </c>
      <c r="E37" s="25">
        <v>274</v>
      </c>
      <c r="F37" s="25">
        <v>14</v>
      </c>
      <c r="G37" s="25">
        <f t="shared" si="4"/>
        <v>312</v>
      </c>
      <c r="H37" s="25">
        <v>40</v>
      </c>
      <c r="I37" s="25">
        <v>295</v>
      </c>
      <c r="J37" s="13">
        <v>12</v>
      </c>
      <c r="K37" s="25">
        <v>347</v>
      </c>
      <c r="L37" s="25">
        <f t="shared" si="5"/>
        <v>-35</v>
      </c>
      <c r="M37" s="25">
        <f t="shared" si="7"/>
        <v>-10.086455331412104</v>
      </c>
      <c r="N37" s="212"/>
      <c r="O37" s="212"/>
      <c r="P37" s="212"/>
      <c r="Q37" s="212"/>
      <c r="R37" s="212"/>
      <c r="S37" s="212"/>
      <c r="T37" s="212"/>
      <c r="U37" s="212"/>
      <c r="V37" s="212"/>
      <c r="W37" s="5"/>
      <c r="X37" s="5"/>
    </row>
    <row r="38" spans="1:24" ht="28.5" customHeight="1" x14ac:dyDescent="0.3">
      <c r="A38" s="24" t="s">
        <v>1458</v>
      </c>
      <c r="B38" s="24"/>
      <c r="C38" s="24"/>
      <c r="D38" s="25">
        <v>100</v>
      </c>
      <c r="E38" s="25">
        <v>161</v>
      </c>
      <c r="F38" s="25">
        <v>671</v>
      </c>
      <c r="G38" s="25">
        <f t="shared" si="4"/>
        <v>932</v>
      </c>
      <c r="H38" s="25">
        <v>130</v>
      </c>
      <c r="I38" s="25">
        <v>152</v>
      </c>
      <c r="J38" s="13">
        <v>793</v>
      </c>
      <c r="K38" s="25">
        <v>1075</v>
      </c>
      <c r="L38" s="25">
        <f t="shared" si="5"/>
        <v>-143</v>
      </c>
      <c r="M38" s="25">
        <f t="shared" si="7"/>
        <v>-13.302325581395349</v>
      </c>
      <c r="N38" s="211"/>
      <c r="O38" s="211"/>
      <c r="P38" s="211"/>
      <c r="Q38" s="211"/>
      <c r="R38" s="211"/>
      <c r="S38" s="211"/>
      <c r="T38" s="211"/>
      <c r="U38" s="211"/>
      <c r="V38" s="211"/>
      <c r="W38" s="5"/>
      <c r="X38" s="5"/>
    </row>
    <row r="39" spans="1:24" ht="28.5" customHeight="1" x14ac:dyDescent="0.3">
      <c r="A39" s="24" t="s">
        <v>23</v>
      </c>
      <c r="B39" s="24"/>
      <c r="C39" s="24"/>
      <c r="D39" s="25">
        <v>2015</v>
      </c>
      <c r="E39" s="25">
        <v>255</v>
      </c>
      <c r="F39" s="25">
        <v>2097</v>
      </c>
      <c r="G39" s="25">
        <f t="shared" si="4"/>
        <v>4367</v>
      </c>
      <c r="H39" s="25"/>
      <c r="I39" s="25"/>
      <c r="J39" s="13">
        <v>29</v>
      </c>
      <c r="K39" s="25">
        <v>29</v>
      </c>
      <c r="L39" s="25">
        <f t="shared" si="5"/>
        <v>4338</v>
      </c>
      <c r="M39" s="25">
        <f t="shared" si="7"/>
        <v>14958.620689655172</v>
      </c>
      <c r="N39" s="211"/>
      <c r="O39" s="211"/>
      <c r="P39" s="211"/>
      <c r="Q39" s="211"/>
      <c r="R39" s="211"/>
      <c r="S39" s="211"/>
      <c r="T39" s="211"/>
      <c r="U39" s="211"/>
      <c r="V39" s="211"/>
      <c r="W39" s="5"/>
      <c r="X39" s="5"/>
    </row>
    <row r="40" spans="1:24" ht="28.5" customHeight="1" x14ac:dyDescent="0.3">
      <c r="A40" s="30" t="s">
        <v>1459</v>
      </c>
      <c r="B40" s="30"/>
      <c r="C40" s="30"/>
      <c r="D40" s="22">
        <f t="shared" ref="D40:F40" si="9">D27+D28+D29+D30+D31+D32+D33+D34+D35+D36+D37+D38+D39</f>
        <v>3299</v>
      </c>
      <c r="E40" s="22">
        <f t="shared" si="9"/>
        <v>1368</v>
      </c>
      <c r="F40" s="22">
        <f t="shared" si="9"/>
        <v>5344</v>
      </c>
      <c r="G40" s="22">
        <f t="shared" si="4"/>
        <v>10011</v>
      </c>
      <c r="H40" s="22">
        <v>1405</v>
      </c>
      <c r="I40" s="22">
        <v>1268</v>
      </c>
      <c r="J40" s="21">
        <v>5124</v>
      </c>
      <c r="K40" s="22">
        <v>7797</v>
      </c>
      <c r="L40" s="22">
        <f t="shared" si="5"/>
        <v>2214</v>
      </c>
      <c r="M40" s="22">
        <f t="shared" si="7"/>
        <v>28.395536744901882</v>
      </c>
      <c r="N40" s="211"/>
      <c r="O40" s="211"/>
      <c r="P40" s="211"/>
      <c r="Q40" s="211"/>
      <c r="R40" s="211"/>
      <c r="S40" s="211"/>
      <c r="T40" s="211"/>
      <c r="U40" s="211"/>
      <c r="V40" s="211"/>
      <c r="W40" s="5"/>
      <c r="X40" s="5"/>
    </row>
    <row r="41" spans="1:24" ht="28.5" customHeight="1" x14ac:dyDescent="0.3">
      <c r="A41" s="24" t="s">
        <v>1460</v>
      </c>
      <c r="B41" s="24" t="s">
        <v>239</v>
      </c>
      <c r="C41" s="24" t="s">
        <v>239</v>
      </c>
      <c r="D41" s="25">
        <v>331</v>
      </c>
      <c r="E41" s="25">
        <v>412</v>
      </c>
      <c r="F41" s="25">
        <v>1363</v>
      </c>
      <c r="G41" s="25">
        <f t="shared" si="4"/>
        <v>2106</v>
      </c>
      <c r="H41" s="25">
        <v>299</v>
      </c>
      <c r="I41" s="25">
        <v>380</v>
      </c>
      <c r="J41" s="13">
        <v>1267</v>
      </c>
      <c r="K41" s="25">
        <v>1946</v>
      </c>
      <c r="L41" s="25">
        <f t="shared" si="5"/>
        <v>160</v>
      </c>
      <c r="M41" s="25">
        <f t="shared" si="7"/>
        <v>8.2219938335046248</v>
      </c>
      <c r="N41" s="211"/>
      <c r="O41" s="211"/>
      <c r="P41" s="211"/>
      <c r="Q41" s="211"/>
      <c r="R41" s="211"/>
      <c r="S41" s="211"/>
      <c r="T41" s="211"/>
      <c r="U41" s="211"/>
      <c r="V41" s="211"/>
      <c r="W41" s="5"/>
      <c r="X41" s="5"/>
    </row>
    <row r="42" spans="1:24" ht="28.5" customHeight="1" x14ac:dyDescent="0.3">
      <c r="A42" s="24" t="s">
        <v>1461</v>
      </c>
      <c r="B42" s="24" t="s">
        <v>239</v>
      </c>
      <c r="C42" s="24" t="s">
        <v>239</v>
      </c>
      <c r="D42" s="25">
        <v>150</v>
      </c>
      <c r="E42" s="25">
        <v>247</v>
      </c>
      <c r="F42" s="25">
        <v>70</v>
      </c>
      <c r="G42" s="25">
        <f t="shared" si="4"/>
        <v>467</v>
      </c>
      <c r="H42" s="25">
        <v>166</v>
      </c>
      <c r="I42" s="25">
        <v>320</v>
      </c>
      <c r="J42" s="13">
        <v>77</v>
      </c>
      <c r="K42" s="25">
        <v>563</v>
      </c>
      <c r="L42" s="25">
        <f t="shared" si="5"/>
        <v>-96</v>
      </c>
      <c r="M42" s="25">
        <f t="shared" si="7"/>
        <v>-17.051509769094139</v>
      </c>
      <c r="N42" s="211"/>
      <c r="O42" s="211"/>
      <c r="P42" s="211"/>
      <c r="Q42" s="211"/>
      <c r="R42" s="211"/>
      <c r="S42" s="211"/>
      <c r="T42" s="211"/>
      <c r="U42" s="211"/>
      <c r="V42" s="211"/>
      <c r="W42" s="5"/>
      <c r="X42" s="5"/>
    </row>
    <row r="43" spans="1:24" ht="28.5" customHeight="1" x14ac:dyDescent="0.3">
      <c r="A43" s="24" t="s">
        <v>1462</v>
      </c>
      <c r="B43" s="24" t="s">
        <v>239</v>
      </c>
      <c r="C43" s="24" t="s">
        <v>239</v>
      </c>
      <c r="D43" s="25">
        <v>1</v>
      </c>
      <c r="E43" s="25">
        <v>392</v>
      </c>
      <c r="F43" s="25">
        <v>166</v>
      </c>
      <c r="G43" s="25">
        <f t="shared" si="4"/>
        <v>559</v>
      </c>
      <c r="H43" s="25">
        <v>0</v>
      </c>
      <c r="I43" s="25">
        <v>507</v>
      </c>
      <c r="J43" s="13">
        <v>175</v>
      </c>
      <c r="K43" s="25">
        <v>682</v>
      </c>
      <c r="L43" s="25">
        <f t="shared" si="5"/>
        <v>-123</v>
      </c>
      <c r="M43" s="25">
        <f t="shared" si="7"/>
        <v>-18.035190615835777</v>
      </c>
      <c r="N43" s="211"/>
      <c r="O43" s="211"/>
      <c r="P43" s="211"/>
      <c r="Q43" s="211"/>
      <c r="R43" s="211"/>
      <c r="S43" s="211"/>
      <c r="T43" s="211"/>
      <c r="U43" s="211"/>
      <c r="V43" s="211"/>
      <c r="W43" s="5"/>
      <c r="X43" s="5"/>
    </row>
    <row r="44" spans="1:24" ht="28.5" customHeight="1" x14ac:dyDescent="0.3">
      <c r="A44" s="24" t="s">
        <v>1463</v>
      </c>
      <c r="B44" s="24" t="s">
        <v>239</v>
      </c>
      <c r="C44" s="24" t="s">
        <v>239</v>
      </c>
      <c r="D44" s="25">
        <v>441</v>
      </c>
      <c r="E44" s="25">
        <v>1575</v>
      </c>
      <c r="F44" s="25">
        <v>456</v>
      </c>
      <c r="G44" s="25">
        <f t="shared" si="4"/>
        <v>2472</v>
      </c>
      <c r="H44" s="25">
        <v>218</v>
      </c>
      <c r="I44" s="25">
        <v>1289</v>
      </c>
      <c r="J44" s="13">
        <v>384</v>
      </c>
      <c r="K44" s="25">
        <v>1891</v>
      </c>
      <c r="L44" s="25">
        <f t="shared" si="5"/>
        <v>581</v>
      </c>
      <c r="M44" s="25">
        <f t="shared" si="7"/>
        <v>30.724484399788469</v>
      </c>
      <c r="N44" s="211"/>
      <c r="O44" s="211"/>
      <c r="P44" s="211"/>
      <c r="Q44" s="211"/>
      <c r="R44" s="211"/>
      <c r="S44" s="211"/>
      <c r="T44" s="211"/>
      <c r="U44" s="211"/>
      <c r="V44" s="211"/>
      <c r="W44" s="5"/>
      <c r="X44" s="5"/>
    </row>
    <row r="45" spans="1:24" ht="28.5" customHeight="1" x14ac:dyDescent="0.3">
      <c r="A45" s="24" t="s">
        <v>1464</v>
      </c>
      <c r="B45" s="24" t="s">
        <v>239</v>
      </c>
      <c r="C45" s="24" t="s">
        <v>239</v>
      </c>
      <c r="D45" s="25">
        <v>47</v>
      </c>
      <c r="E45" s="25">
        <v>73</v>
      </c>
      <c r="F45" s="25">
        <v>181</v>
      </c>
      <c r="G45" s="25">
        <f t="shared" si="4"/>
        <v>301</v>
      </c>
      <c r="H45" s="25">
        <v>129</v>
      </c>
      <c r="I45" s="25">
        <v>143</v>
      </c>
      <c r="J45" s="13">
        <v>267</v>
      </c>
      <c r="K45" s="25">
        <v>539</v>
      </c>
      <c r="L45" s="25">
        <f t="shared" si="5"/>
        <v>-238</v>
      </c>
      <c r="M45" s="25">
        <f t="shared" si="7"/>
        <v>-44.155844155844157</v>
      </c>
      <c r="N45" s="211"/>
      <c r="O45" s="211"/>
      <c r="P45" s="211"/>
      <c r="Q45" s="211"/>
      <c r="R45" s="211"/>
      <c r="S45" s="211"/>
      <c r="T45" s="211"/>
      <c r="U45" s="211"/>
      <c r="V45" s="211"/>
      <c r="W45" s="5"/>
      <c r="X45" s="5"/>
    </row>
    <row r="46" spans="1:24" ht="28.5" customHeight="1" x14ac:dyDescent="0.3">
      <c r="A46" s="30" t="s">
        <v>1465</v>
      </c>
      <c r="B46" s="30"/>
      <c r="C46" s="31" t="s">
        <v>239</v>
      </c>
      <c r="D46" s="22">
        <v>973</v>
      </c>
      <c r="E46" s="22">
        <v>2759</v>
      </c>
      <c r="F46" s="22">
        <v>2241</v>
      </c>
      <c r="G46" s="22">
        <f t="shared" si="4"/>
        <v>5973</v>
      </c>
      <c r="H46" s="22">
        <v>817</v>
      </c>
      <c r="I46" s="22">
        <v>2733</v>
      </c>
      <c r="J46" s="21">
        <v>2181</v>
      </c>
      <c r="K46" s="22">
        <v>5731</v>
      </c>
      <c r="L46" s="22">
        <f t="shared" si="5"/>
        <v>242</v>
      </c>
      <c r="M46" s="22">
        <f t="shared" si="7"/>
        <v>4.2226487523992322</v>
      </c>
      <c r="N46" s="212"/>
      <c r="O46" s="212"/>
      <c r="P46" s="212"/>
      <c r="Q46" s="212"/>
      <c r="R46" s="212"/>
      <c r="S46" s="212"/>
      <c r="T46" s="212"/>
      <c r="U46" s="212"/>
      <c r="V46" s="212"/>
      <c r="W46" s="5"/>
      <c r="X46" s="5"/>
    </row>
    <row r="47" spans="1:24" ht="28.5" customHeight="1" x14ac:dyDescent="0.3">
      <c r="A47" s="66" t="s">
        <v>1466</v>
      </c>
      <c r="B47" s="66" t="s">
        <v>1467</v>
      </c>
      <c r="C47" s="66" t="s">
        <v>221</v>
      </c>
      <c r="D47" s="14"/>
      <c r="E47" s="14"/>
      <c r="F47" s="14"/>
      <c r="G47" s="25">
        <v>413</v>
      </c>
      <c r="H47" s="14"/>
      <c r="I47" s="14"/>
      <c r="J47" s="13"/>
      <c r="K47" s="25">
        <v>436</v>
      </c>
      <c r="L47" s="25">
        <f t="shared" si="5"/>
        <v>-23</v>
      </c>
      <c r="M47" s="25">
        <f t="shared" si="7"/>
        <v>-5.2752293577981657</v>
      </c>
      <c r="N47" s="214"/>
      <c r="O47" s="215"/>
      <c r="P47" s="215"/>
      <c r="Q47" s="215"/>
      <c r="R47" s="215"/>
      <c r="S47" s="215"/>
      <c r="T47" s="215"/>
      <c r="U47" s="215"/>
      <c r="V47" s="215"/>
      <c r="W47" s="5"/>
      <c r="X47" s="5"/>
    </row>
    <row r="48" spans="1:24" ht="28.5" customHeight="1" x14ac:dyDescent="0.3">
      <c r="A48" s="66" t="s">
        <v>1468</v>
      </c>
      <c r="B48" s="66" t="s">
        <v>1469</v>
      </c>
      <c r="C48" s="66" t="s">
        <v>221</v>
      </c>
      <c r="D48" s="14"/>
      <c r="E48" s="14"/>
      <c r="F48" s="14"/>
      <c r="G48" s="25">
        <v>86</v>
      </c>
      <c r="H48" s="14"/>
      <c r="I48" s="14"/>
      <c r="J48" s="13"/>
      <c r="K48" s="25">
        <v>99</v>
      </c>
      <c r="L48" s="25">
        <f t="shared" si="5"/>
        <v>-13</v>
      </c>
      <c r="M48" s="25">
        <f t="shared" si="7"/>
        <v>-13.131313131313133</v>
      </c>
      <c r="N48" s="214"/>
      <c r="O48" s="215"/>
      <c r="P48" s="215"/>
      <c r="Q48" s="215"/>
      <c r="R48" s="215"/>
      <c r="S48" s="215"/>
      <c r="T48" s="215"/>
      <c r="U48" s="215"/>
      <c r="V48" s="215"/>
      <c r="W48" s="5"/>
      <c r="X48" s="5"/>
    </row>
    <row r="49" spans="1:24" ht="28.5" customHeight="1" x14ac:dyDescent="0.3">
      <c r="A49" s="66" t="s">
        <v>1470</v>
      </c>
      <c r="B49" s="66" t="s">
        <v>1471</v>
      </c>
      <c r="C49" s="66" t="s">
        <v>43</v>
      </c>
      <c r="D49" s="14"/>
      <c r="E49" s="14"/>
      <c r="F49" s="14"/>
      <c r="G49" s="25">
        <v>-7</v>
      </c>
      <c r="H49" s="14"/>
      <c r="I49" s="14"/>
      <c r="J49" s="13"/>
      <c r="K49" s="25">
        <v>51</v>
      </c>
      <c r="L49" s="25">
        <f t="shared" si="5"/>
        <v>-58</v>
      </c>
      <c r="M49" s="25">
        <f t="shared" si="7"/>
        <v>-113.72549019607843</v>
      </c>
      <c r="N49" s="214"/>
      <c r="O49" s="215"/>
      <c r="P49" s="215"/>
      <c r="Q49" s="215"/>
      <c r="R49" s="215"/>
      <c r="S49" s="215"/>
      <c r="T49" s="215"/>
      <c r="U49" s="215"/>
      <c r="V49" s="215"/>
      <c r="W49" s="5"/>
      <c r="X49" s="5"/>
    </row>
    <row r="50" spans="1:24" ht="28.5" customHeight="1" x14ac:dyDescent="0.3">
      <c r="A50" s="30" t="s">
        <v>1472</v>
      </c>
      <c r="B50" s="30"/>
      <c r="C50" s="30"/>
      <c r="D50" s="22">
        <v>305</v>
      </c>
      <c r="E50" s="22">
        <v>361</v>
      </c>
      <c r="F50" s="22">
        <v>430</v>
      </c>
      <c r="G50" s="22">
        <f>D50+E50+F50</f>
        <v>1096</v>
      </c>
      <c r="H50" s="22">
        <v>324</v>
      </c>
      <c r="I50" s="22">
        <v>323</v>
      </c>
      <c r="J50" s="21">
        <v>532</v>
      </c>
      <c r="K50" s="22">
        <v>1179</v>
      </c>
      <c r="L50" s="22">
        <f t="shared" si="5"/>
        <v>-83</v>
      </c>
      <c r="M50" s="22">
        <f t="shared" si="7"/>
        <v>-7.0398642917726892</v>
      </c>
      <c r="N50" s="214"/>
      <c r="O50" s="215"/>
      <c r="P50" s="215"/>
      <c r="Q50" s="215"/>
      <c r="R50" s="215"/>
      <c r="S50" s="215"/>
      <c r="T50" s="215"/>
      <c r="U50" s="215"/>
      <c r="V50" s="215"/>
      <c r="W50" s="5"/>
      <c r="X50" s="5"/>
    </row>
    <row r="51" spans="1:24" ht="28.5" customHeight="1" x14ac:dyDescent="0.3">
      <c r="A51" s="66" t="s">
        <v>1473</v>
      </c>
      <c r="B51" s="66" t="s">
        <v>962</v>
      </c>
      <c r="C51" s="11" t="s">
        <v>89</v>
      </c>
      <c r="D51" s="14"/>
      <c r="E51" s="14"/>
      <c r="F51" s="14"/>
      <c r="G51" s="25">
        <v>325</v>
      </c>
      <c r="H51" s="14"/>
      <c r="I51" s="14"/>
      <c r="J51" s="13"/>
      <c r="K51" s="25">
        <v>324</v>
      </c>
      <c r="L51" s="25">
        <f t="shared" si="5"/>
        <v>1</v>
      </c>
      <c r="M51" s="25">
        <f t="shared" si="7"/>
        <v>0.30864197530864196</v>
      </c>
      <c r="N51" s="214"/>
      <c r="O51" s="215"/>
      <c r="P51" s="215"/>
      <c r="Q51" s="215"/>
      <c r="R51" s="215"/>
      <c r="S51" s="215"/>
      <c r="T51" s="215"/>
      <c r="U51" s="215"/>
      <c r="V51" s="215"/>
      <c r="W51" s="5"/>
      <c r="X51" s="5"/>
    </row>
    <row r="52" spans="1:24" ht="28.5" customHeight="1" x14ac:dyDescent="0.3">
      <c r="A52" s="66" t="s">
        <v>1474</v>
      </c>
      <c r="B52" s="66" t="s">
        <v>1475</v>
      </c>
      <c r="C52" s="11" t="s">
        <v>89</v>
      </c>
      <c r="D52" s="14"/>
      <c r="E52" s="14"/>
      <c r="F52" s="14"/>
      <c r="G52" s="25">
        <v>177</v>
      </c>
      <c r="H52" s="14"/>
      <c r="I52" s="14"/>
      <c r="J52" s="13"/>
      <c r="K52" s="25">
        <v>189</v>
      </c>
      <c r="L52" s="25">
        <f t="shared" si="5"/>
        <v>-12</v>
      </c>
      <c r="M52" s="25">
        <f t="shared" si="7"/>
        <v>-6.3492063492063489</v>
      </c>
      <c r="N52" s="214"/>
      <c r="O52" s="215"/>
      <c r="P52" s="215"/>
      <c r="Q52" s="215"/>
      <c r="R52" s="215"/>
      <c r="S52" s="215"/>
      <c r="T52" s="215"/>
      <c r="U52" s="215"/>
      <c r="V52" s="215"/>
      <c r="W52" s="5"/>
      <c r="X52" s="5"/>
    </row>
    <row r="53" spans="1:24" ht="28.5" customHeight="1" x14ac:dyDescent="0.3">
      <c r="A53" s="30" t="s">
        <v>1476</v>
      </c>
      <c r="B53" s="30"/>
      <c r="C53" s="30"/>
      <c r="D53" s="22">
        <v>539</v>
      </c>
      <c r="E53" s="22">
        <v>181</v>
      </c>
      <c r="F53" s="22">
        <v>505</v>
      </c>
      <c r="G53" s="22">
        <f>D53+E53+F53</f>
        <v>1225</v>
      </c>
      <c r="H53" s="22">
        <v>499</v>
      </c>
      <c r="I53" s="22">
        <v>185</v>
      </c>
      <c r="J53" s="21">
        <v>134</v>
      </c>
      <c r="K53" s="22">
        <v>818</v>
      </c>
      <c r="L53" s="22">
        <f t="shared" si="5"/>
        <v>407</v>
      </c>
      <c r="M53" s="22">
        <f t="shared" si="7"/>
        <v>49.755501222493884</v>
      </c>
      <c r="N53" s="214"/>
      <c r="O53" s="215"/>
      <c r="P53" s="215"/>
      <c r="Q53" s="215"/>
      <c r="R53" s="215"/>
      <c r="S53" s="215"/>
      <c r="T53" s="215"/>
      <c r="U53" s="215"/>
      <c r="V53" s="215"/>
      <c r="W53" s="5"/>
      <c r="X53" s="5"/>
    </row>
    <row r="54" spans="1:24" ht="28.5" customHeight="1" x14ac:dyDescent="0.3">
      <c r="A54" s="24" t="s">
        <v>1477</v>
      </c>
      <c r="B54" s="24" t="s">
        <v>1478</v>
      </c>
      <c r="C54" s="24" t="s">
        <v>97</v>
      </c>
      <c r="D54" s="25"/>
      <c r="E54" s="25"/>
      <c r="F54" s="25"/>
      <c r="G54" s="25">
        <v>235</v>
      </c>
      <c r="H54" s="25"/>
      <c r="I54" s="25"/>
      <c r="J54" s="13"/>
      <c r="K54" s="25">
        <v>225</v>
      </c>
      <c r="L54" s="25">
        <f t="shared" si="5"/>
        <v>10</v>
      </c>
      <c r="M54" s="25">
        <f t="shared" si="7"/>
        <v>4.4444444444444446</v>
      </c>
      <c r="N54" s="211"/>
      <c r="O54" s="211"/>
      <c r="P54" s="211"/>
      <c r="Q54" s="211"/>
      <c r="R54" s="211"/>
      <c r="S54" s="211"/>
      <c r="T54" s="211"/>
      <c r="U54" s="211"/>
      <c r="V54" s="211"/>
      <c r="W54" s="5"/>
      <c r="X54" s="5"/>
    </row>
    <row r="55" spans="1:24" ht="28.5" customHeight="1" x14ac:dyDescent="0.3">
      <c r="A55" s="66" t="s">
        <v>1479</v>
      </c>
      <c r="B55" s="66" t="s">
        <v>1480</v>
      </c>
      <c r="C55" s="66" t="s">
        <v>97</v>
      </c>
      <c r="D55" s="14"/>
      <c r="E55" s="14"/>
      <c r="F55" s="14"/>
      <c r="G55" s="25">
        <v>180</v>
      </c>
      <c r="H55" s="14"/>
      <c r="I55" s="14"/>
      <c r="J55" s="13"/>
      <c r="K55" s="25">
        <v>222</v>
      </c>
      <c r="L55" s="25">
        <f t="shared" si="5"/>
        <v>-42</v>
      </c>
      <c r="M55" s="25">
        <f t="shared" si="7"/>
        <v>-18.918918918918919</v>
      </c>
      <c r="N55" s="214"/>
      <c r="O55" s="215"/>
      <c r="P55" s="215"/>
      <c r="Q55" s="215"/>
      <c r="R55" s="215"/>
      <c r="S55" s="215"/>
      <c r="T55" s="215"/>
      <c r="U55" s="215"/>
      <c r="V55" s="215"/>
      <c r="W55" s="5"/>
      <c r="X55" s="5"/>
    </row>
    <row r="56" spans="1:24" ht="28.5" customHeight="1" x14ac:dyDescent="0.3">
      <c r="A56" s="66" t="s">
        <v>1481</v>
      </c>
      <c r="B56" s="66" t="s">
        <v>1482</v>
      </c>
      <c r="C56" s="66" t="s">
        <v>97</v>
      </c>
      <c r="D56" s="14"/>
      <c r="E56" s="14"/>
      <c r="F56" s="14"/>
      <c r="G56" s="25">
        <v>198</v>
      </c>
      <c r="H56" s="14"/>
      <c r="I56" s="14"/>
      <c r="J56" s="13"/>
      <c r="K56" s="25">
        <v>190</v>
      </c>
      <c r="L56" s="25">
        <f t="shared" si="5"/>
        <v>8</v>
      </c>
      <c r="M56" s="25">
        <f t="shared" si="7"/>
        <v>4.2105263157894735</v>
      </c>
      <c r="N56" s="214"/>
      <c r="O56" s="215"/>
      <c r="P56" s="215"/>
      <c r="Q56" s="215"/>
      <c r="R56" s="215"/>
      <c r="S56" s="215"/>
      <c r="T56" s="215"/>
      <c r="U56" s="215"/>
      <c r="V56" s="215"/>
      <c r="W56" s="5"/>
      <c r="X56" s="5"/>
    </row>
    <row r="57" spans="1:24" ht="28.5" customHeight="1" x14ac:dyDescent="0.3">
      <c r="A57" s="66" t="s">
        <v>1483</v>
      </c>
      <c r="B57" s="66" t="s">
        <v>1484</v>
      </c>
      <c r="C57" s="66" t="s">
        <v>97</v>
      </c>
      <c r="D57" s="14"/>
      <c r="E57" s="14"/>
      <c r="F57" s="14"/>
      <c r="G57" s="25">
        <v>-7</v>
      </c>
      <c r="H57" s="14"/>
      <c r="I57" s="14"/>
      <c r="J57" s="13"/>
      <c r="K57" s="25">
        <v>78</v>
      </c>
      <c r="L57" s="25">
        <f t="shared" si="5"/>
        <v>-85</v>
      </c>
      <c r="M57" s="25">
        <f t="shared" si="7"/>
        <v>-108.97435897435896</v>
      </c>
      <c r="N57" s="214"/>
      <c r="O57" s="215"/>
      <c r="P57" s="215"/>
      <c r="Q57" s="215"/>
      <c r="R57" s="215"/>
      <c r="S57" s="215"/>
      <c r="T57" s="215"/>
      <c r="U57" s="215"/>
      <c r="V57" s="215"/>
      <c r="W57" s="5"/>
      <c r="X57" s="5"/>
    </row>
    <row r="58" spans="1:24" ht="28.5" customHeight="1" x14ac:dyDescent="0.3">
      <c r="A58" s="30" t="s">
        <v>1485</v>
      </c>
      <c r="B58" s="30"/>
      <c r="C58" s="31" t="s">
        <v>97</v>
      </c>
      <c r="D58" s="22">
        <v>319</v>
      </c>
      <c r="E58" s="22">
        <v>86</v>
      </c>
      <c r="F58" s="22">
        <v>453</v>
      </c>
      <c r="G58" s="22">
        <f t="shared" ref="G58:G59" si="10">D58+E58+F58</f>
        <v>858</v>
      </c>
      <c r="H58" s="22">
        <v>307</v>
      </c>
      <c r="I58" s="22">
        <v>157</v>
      </c>
      <c r="J58" s="21">
        <v>540</v>
      </c>
      <c r="K58" s="22">
        <v>1004</v>
      </c>
      <c r="L58" s="22">
        <f t="shared" si="5"/>
        <v>-146</v>
      </c>
      <c r="M58" s="22">
        <f t="shared" si="7"/>
        <v>-14.54183266932271</v>
      </c>
      <c r="N58" s="214"/>
      <c r="O58" s="215"/>
      <c r="P58" s="215"/>
      <c r="Q58" s="215"/>
      <c r="R58" s="215"/>
      <c r="S58" s="215"/>
      <c r="T58" s="215"/>
      <c r="U58" s="215"/>
      <c r="V58" s="215"/>
      <c r="W58" s="5"/>
      <c r="X58" s="5"/>
    </row>
    <row r="59" spans="1:24" ht="28.5" customHeight="1" x14ac:dyDescent="0.3">
      <c r="A59" s="30" t="s">
        <v>303</v>
      </c>
      <c r="B59" s="30"/>
      <c r="C59" s="31" t="s">
        <v>303</v>
      </c>
      <c r="D59" s="22">
        <v>127</v>
      </c>
      <c r="E59" s="22">
        <v>43</v>
      </c>
      <c r="F59" s="22">
        <v>441</v>
      </c>
      <c r="G59" s="22">
        <f t="shared" si="10"/>
        <v>611</v>
      </c>
      <c r="H59" s="22">
        <v>121</v>
      </c>
      <c r="I59" s="22">
        <v>38</v>
      </c>
      <c r="J59" s="21">
        <v>498</v>
      </c>
      <c r="K59" s="22">
        <v>657</v>
      </c>
      <c r="L59" s="22">
        <f t="shared" si="5"/>
        <v>-46</v>
      </c>
      <c r="M59" s="22">
        <f t="shared" si="7"/>
        <v>-7.0015220700152199</v>
      </c>
      <c r="N59" s="214"/>
      <c r="O59" s="215"/>
      <c r="P59" s="215"/>
      <c r="Q59" s="215"/>
      <c r="R59" s="215"/>
      <c r="S59" s="215"/>
      <c r="T59" s="215"/>
      <c r="U59" s="215"/>
      <c r="V59" s="215"/>
      <c r="W59" s="5"/>
      <c r="X59" s="5"/>
    </row>
    <row r="60" spans="1:24" ht="28.5" customHeight="1" x14ac:dyDescent="0.3">
      <c r="A60" s="66" t="s">
        <v>1486</v>
      </c>
      <c r="B60" s="66"/>
      <c r="C60" s="66" t="s">
        <v>303</v>
      </c>
      <c r="D60" s="14"/>
      <c r="E60" s="14"/>
      <c r="F60" s="14"/>
      <c r="G60" s="25">
        <v>201</v>
      </c>
      <c r="H60" s="14"/>
      <c r="I60" s="14"/>
      <c r="J60" s="13"/>
      <c r="K60" s="25">
        <v>213</v>
      </c>
      <c r="L60" s="25">
        <f t="shared" si="5"/>
        <v>-12</v>
      </c>
      <c r="M60" s="25">
        <f t="shared" si="7"/>
        <v>-5.6338028169014089</v>
      </c>
      <c r="N60" s="214"/>
      <c r="O60" s="215"/>
      <c r="P60" s="215"/>
      <c r="Q60" s="215"/>
      <c r="R60" s="215"/>
      <c r="S60" s="215"/>
      <c r="T60" s="215"/>
      <c r="U60" s="215"/>
      <c r="V60" s="215"/>
      <c r="W60" s="5"/>
      <c r="X60" s="5"/>
    </row>
    <row r="61" spans="1:24" ht="28.5" customHeight="1" x14ac:dyDescent="0.3">
      <c r="A61" s="30" t="s">
        <v>1487</v>
      </c>
      <c r="B61" s="30"/>
      <c r="C61" s="30"/>
      <c r="D61" s="22"/>
      <c r="E61" s="22"/>
      <c r="F61" s="22"/>
      <c r="G61" s="22">
        <v>604</v>
      </c>
      <c r="H61" s="22">
        <v>60</v>
      </c>
      <c r="I61" s="22">
        <v>383</v>
      </c>
      <c r="J61" s="21">
        <v>145</v>
      </c>
      <c r="K61" s="22">
        <v>588</v>
      </c>
      <c r="L61" s="22">
        <f t="shared" si="5"/>
        <v>16</v>
      </c>
      <c r="M61" s="22">
        <f t="shared" si="7"/>
        <v>2.7210884353741496</v>
      </c>
      <c r="N61" s="214"/>
      <c r="O61" s="215"/>
      <c r="P61" s="215"/>
      <c r="Q61" s="215"/>
      <c r="R61" s="215"/>
      <c r="S61" s="215"/>
      <c r="T61" s="215"/>
      <c r="U61" s="215"/>
      <c r="V61" s="215"/>
      <c r="W61" s="5"/>
      <c r="X61" s="5"/>
    </row>
    <row r="62" spans="1:24" ht="28.5" customHeight="1" x14ac:dyDescent="0.3">
      <c r="A62" s="30" t="s">
        <v>1488</v>
      </c>
      <c r="B62" s="30"/>
      <c r="C62" s="30"/>
      <c r="D62" s="22">
        <v>1359</v>
      </c>
      <c r="E62" s="22">
        <v>1071</v>
      </c>
      <c r="F62" s="22">
        <v>1964</v>
      </c>
      <c r="G62" s="22">
        <f t="shared" ref="G62:G63" si="11">D62+E62+F62</f>
        <v>4394</v>
      </c>
      <c r="H62" s="22">
        <v>1311</v>
      </c>
      <c r="I62" s="22">
        <v>1086</v>
      </c>
      <c r="J62" s="21">
        <v>2290</v>
      </c>
      <c r="K62" s="22">
        <v>4687</v>
      </c>
      <c r="L62" s="22">
        <f t="shared" si="5"/>
        <v>-293</v>
      </c>
      <c r="M62" s="22">
        <f t="shared" si="7"/>
        <v>-6.2513334755707275</v>
      </c>
      <c r="N62" s="212"/>
      <c r="O62" s="212"/>
      <c r="P62" s="212"/>
      <c r="Q62" s="212"/>
      <c r="R62" s="212"/>
      <c r="S62" s="212"/>
      <c r="T62" s="212"/>
      <c r="U62" s="212"/>
      <c r="V62" s="212"/>
      <c r="W62" s="5"/>
      <c r="X62" s="5"/>
    </row>
    <row r="63" spans="1:24" ht="28.5" customHeight="1" x14ac:dyDescent="0.3">
      <c r="A63" s="30" t="s">
        <v>1489</v>
      </c>
      <c r="B63" s="30"/>
      <c r="C63" s="30"/>
      <c r="D63" s="22">
        <v>9151</v>
      </c>
      <c r="E63" s="22">
        <v>13465</v>
      </c>
      <c r="F63" s="22">
        <v>13425</v>
      </c>
      <c r="G63" s="22">
        <f t="shared" si="11"/>
        <v>36041</v>
      </c>
      <c r="H63" s="22">
        <v>8852</v>
      </c>
      <c r="I63" s="22">
        <v>12756</v>
      </c>
      <c r="J63" s="21">
        <v>14518</v>
      </c>
      <c r="K63" s="22">
        <v>36126</v>
      </c>
      <c r="L63" s="22">
        <f t="shared" si="5"/>
        <v>-85</v>
      </c>
      <c r="M63" s="216">
        <f t="shared" si="7"/>
        <v>-0.23528760449537728</v>
      </c>
      <c r="N63" s="212"/>
      <c r="O63" s="212"/>
      <c r="P63" s="212"/>
      <c r="Q63" s="212"/>
      <c r="R63" s="212"/>
      <c r="S63" s="212"/>
      <c r="T63" s="212"/>
      <c r="U63" s="212"/>
      <c r="V63" s="212"/>
      <c r="W63" s="5"/>
      <c r="X63" s="5"/>
    </row>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A5DB0"/>
  </sheetPr>
  <dimension ref="A1:Y9"/>
  <sheetViews>
    <sheetView workbookViewId="0">
      <pane ySplit="1" topLeftCell="A2" activePane="bottomLeft" state="frozen"/>
      <selection pane="bottomLeft"/>
    </sheetView>
  </sheetViews>
  <sheetFormatPr defaultColWidth="14.44140625" defaultRowHeight="15.75" customHeight="1" x14ac:dyDescent="0.25"/>
  <cols>
    <col min="1" max="1" width="24.5546875" customWidth="1"/>
    <col min="2" max="2" width="23.44140625" customWidth="1"/>
    <col min="3" max="4" width="15.6640625" customWidth="1"/>
    <col min="5" max="5" width="14.109375" customWidth="1"/>
    <col min="6" max="6" width="15.6640625" customWidth="1"/>
    <col min="7" max="21" width="9.109375" customWidth="1"/>
  </cols>
  <sheetData>
    <row r="1" spans="1:25" ht="34.5" customHeight="1" x14ac:dyDescent="0.25">
      <c r="A1" s="37" t="s">
        <v>1690</v>
      </c>
      <c r="B1" s="38" t="s">
        <v>11</v>
      </c>
      <c r="C1" s="39" t="s">
        <v>1687</v>
      </c>
      <c r="D1" s="39" t="s">
        <v>1688</v>
      </c>
      <c r="E1" s="38" t="s">
        <v>1682</v>
      </c>
      <c r="F1" s="39" t="s">
        <v>1683</v>
      </c>
      <c r="G1" s="10"/>
      <c r="H1" s="10"/>
      <c r="I1" s="10"/>
      <c r="J1" s="10"/>
      <c r="K1" s="10"/>
      <c r="L1" s="10"/>
      <c r="M1" s="10"/>
      <c r="N1" s="10"/>
      <c r="O1" s="10"/>
      <c r="P1" s="10"/>
      <c r="Q1" s="10"/>
      <c r="R1" s="10"/>
      <c r="S1" s="10"/>
      <c r="T1" s="10"/>
      <c r="U1" s="10"/>
    </row>
    <row r="2" spans="1:25" ht="28.5" customHeight="1" x14ac:dyDescent="0.25">
      <c r="A2" s="24" t="s">
        <v>1691</v>
      </c>
      <c r="B2" s="24"/>
      <c r="C2" s="29">
        <v>1126</v>
      </c>
      <c r="D2" s="29">
        <v>1210</v>
      </c>
      <c r="E2" s="29">
        <f t="shared" ref="E2:E9" si="0">C2-D2</f>
        <v>-84</v>
      </c>
      <c r="F2" s="14">
        <f t="shared" ref="F2:F9" si="1">(E2/D2)*100</f>
        <v>-6.9421487603305785</v>
      </c>
      <c r="G2" s="17"/>
      <c r="H2" s="17"/>
      <c r="I2" s="17"/>
      <c r="J2" s="17"/>
      <c r="K2" s="17"/>
      <c r="L2" s="17"/>
      <c r="M2" s="17"/>
      <c r="N2" s="17"/>
      <c r="O2" s="17"/>
      <c r="P2" s="17"/>
      <c r="Q2" s="17"/>
      <c r="R2" s="17"/>
      <c r="S2" s="17"/>
      <c r="T2" s="17"/>
      <c r="U2" s="17"/>
    </row>
    <row r="3" spans="1:25" ht="28.5" customHeight="1" x14ac:dyDescent="0.25">
      <c r="A3" s="24" t="s">
        <v>103</v>
      </c>
      <c r="B3" s="24"/>
      <c r="C3" s="29">
        <v>1952</v>
      </c>
      <c r="D3" s="29">
        <v>2304</v>
      </c>
      <c r="E3" s="29">
        <f t="shared" si="0"/>
        <v>-352</v>
      </c>
      <c r="F3" s="14">
        <f t="shared" si="1"/>
        <v>-15.277777777777779</v>
      </c>
      <c r="G3" s="17"/>
      <c r="H3" s="17"/>
      <c r="I3" s="17"/>
      <c r="J3" s="17"/>
      <c r="K3" s="17"/>
      <c r="L3" s="17"/>
      <c r="M3" s="17"/>
      <c r="N3" s="17"/>
      <c r="O3" s="17"/>
      <c r="P3" s="17"/>
      <c r="Q3" s="17"/>
      <c r="R3" s="17"/>
      <c r="S3" s="17"/>
      <c r="T3" s="17"/>
      <c r="U3" s="17"/>
    </row>
    <row r="4" spans="1:25" ht="28.5" customHeight="1" x14ac:dyDescent="0.25">
      <c r="A4" s="24" t="s">
        <v>104</v>
      </c>
      <c r="B4" s="24"/>
      <c r="C4" s="29">
        <v>632</v>
      </c>
      <c r="D4" s="29">
        <v>660</v>
      </c>
      <c r="E4" s="29">
        <f t="shared" si="0"/>
        <v>-28</v>
      </c>
      <c r="F4" s="14">
        <f t="shared" si="1"/>
        <v>-4.2424242424242431</v>
      </c>
      <c r="G4" s="17"/>
      <c r="H4" s="17"/>
      <c r="I4" s="17"/>
      <c r="J4" s="17"/>
      <c r="K4" s="17"/>
      <c r="L4" s="17"/>
      <c r="M4" s="17"/>
      <c r="N4" s="17"/>
      <c r="O4" s="17"/>
      <c r="P4" s="17"/>
      <c r="Q4" s="17"/>
      <c r="R4" s="17"/>
      <c r="S4" s="17"/>
      <c r="T4" s="17"/>
      <c r="U4" s="17"/>
    </row>
    <row r="5" spans="1:25" ht="28.5" customHeight="1" x14ac:dyDescent="0.25">
      <c r="A5" s="30" t="s">
        <v>105</v>
      </c>
      <c r="B5" s="30"/>
      <c r="C5" s="22">
        <v>3710</v>
      </c>
      <c r="D5" s="22">
        <v>4174</v>
      </c>
      <c r="E5" s="22">
        <f t="shared" si="0"/>
        <v>-464</v>
      </c>
      <c r="F5" s="22">
        <f t="shared" si="1"/>
        <v>-11.116435074269287</v>
      </c>
      <c r="G5" s="17"/>
      <c r="H5" s="17"/>
      <c r="I5" s="17"/>
      <c r="J5" s="17"/>
      <c r="K5" s="17"/>
      <c r="L5" s="17"/>
      <c r="M5" s="17"/>
      <c r="N5" s="17"/>
      <c r="O5" s="17"/>
      <c r="P5" s="17"/>
      <c r="Q5" s="17"/>
      <c r="R5" s="17"/>
      <c r="S5" s="17"/>
      <c r="T5" s="17"/>
      <c r="U5" s="17"/>
    </row>
    <row r="6" spans="1:25" ht="28.5" customHeight="1" x14ac:dyDescent="0.25">
      <c r="A6" s="32" t="s">
        <v>106</v>
      </c>
      <c r="B6" s="32" t="s">
        <v>72</v>
      </c>
      <c r="C6" s="33">
        <v>1838</v>
      </c>
      <c r="D6" s="33">
        <v>1969</v>
      </c>
      <c r="E6" s="29">
        <f t="shared" si="0"/>
        <v>-131</v>
      </c>
      <c r="F6" s="14">
        <f t="shared" si="1"/>
        <v>-6.6531234128999488</v>
      </c>
      <c r="G6" s="40"/>
      <c r="H6" s="41"/>
      <c r="I6" s="41"/>
      <c r="J6" s="41"/>
      <c r="K6" s="41"/>
      <c r="L6" s="41"/>
      <c r="M6" s="41"/>
      <c r="N6" s="41"/>
      <c r="O6" s="41"/>
      <c r="P6" s="41"/>
      <c r="Q6" s="41"/>
      <c r="R6" s="41"/>
      <c r="S6" s="41"/>
      <c r="T6" s="41"/>
      <c r="U6" s="41"/>
    </row>
    <row r="7" spans="1:25" ht="28.5" customHeight="1" x14ac:dyDescent="0.25">
      <c r="A7" s="32" t="s">
        <v>107</v>
      </c>
      <c r="B7" s="32" t="s">
        <v>72</v>
      </c>
      <c r="C7" s="33">
        <v>1215</v>
      </c>
      <c r="D7" s="33">
        <v>1219</v>
      </c>
      <c r="E7" s="29">
        <f t="shared" si="0"/>
        <v>-4</v>
      </c>
      <c r="F7" s="14">
        <f t="shared" si="1"/>
        <v>-0.3281378178835111</v>
      </c>
      <c r="G7" s="40"/>
      <c r="H7" s="41"/>
      <c r="I7" s="41"/>
      <c r="J7" s="41"/>
      <c r="K7" s="41"/>
      <c r="L7" s="41"/>
      <c r="M7" s="41"/>
      <c r="N7" s="41"/>
      <c r="O7" s="41"/>
      <c r="P7" s="41"/>
      <c r="Q7" s="41"/>
      <c r="R7" s="41"/>
      <c r="S7" s="41"/>
      <c r="T7" s="41"/>
      <c r="U7" s="41"/>
    </row>
    <row r="8" spans="1:25" ht="28.5" customHeight="1" x14ac:dyDescent="0.25">
      <c r="A8" s="30" t="s">
        <v>108</v>
      </c>
      <c r="B8" s="30"/>
      <c r="C8" s="22">
        <v>3053</v>
      </c>
      <c r="D8" s="22">
        <v>3188</v>
      </c>
      <c r="E8" s="22">
        <f t="shared" si="0"/>
        <v>-135</v>
      </c>
      <c r="F8" s="22">
        <f t="shared" si="1"/>
        <v>-4.2346298619824339</v>
      </c>
      <c r="G8" s="42"/>
      <c r="H8" s="43"/>
      <c r="I8" s="43"/>
      <c r="J8" s="43"/>
      <c r="K8" s="43"/>
      <c r="L8" s="43"/>
      <c r="M8" s="43"/>
      <c r="N8" s="43"/>
      <c r="O8" s="43"/>
      <c r="P8" s="43"/>
      <c r="Q8" s="43"/>
      <c r="R8" s="43"/>
      <c r="S8" s="43"/>
      <c r="T8" s="43"/>
      <c r="U8" s="43"/>
      <c r="V8" s="44"/>
      <c r="W8" s="44"/>
      <c r="X8" s="44"/>
      <c r="Y8" s="44"/>
    </row>
    <row r="9" spans="1:25" ht="28.5" customHeight="1" x14ac:dyDescent="0.25">
      <c r="A9" s="30" t="s">
        <v>109</v>
      </c>
      <c r="B9" s="30"/>
      <c r="C9" s="22">
        <v>6763</v>
      </c>
      <c r="D9" s="22">
        <v>7362</v>
      </c>
      <c r="E9" s="22">
        <f t="shared" si="0"/>
        <v>-599</v>
      </c>
      <c r="F9" s="22">
        <f t="shared" si="1"/>
        <v>-8.1363759847867421</v>
      </c>
      <c r="G9" s="45"/>
      <c r="H9" s="45"/>
      <c r="I9" s="45"/>
      <c r="J9" s="45"/>
      <c r="K9" s="45"/>
      <c r="L9" s="45"/>
      <c r="M9" s="45"/>
      <c r="N9" s="45"/>
      <c r="O9" s="45"/>
      <c r="P9" s="45"/>
      <c r="Q9" s="45"/>
      <c r="R9" s="45"/>
      <c r="S9" s="45"/>
      <c r="T9" s="45"/>
      <c r="U9" s="45"/>
      <c r="V9" s="44"/>
      <c r="W9" s="44"/>
      <c r="X9" s="44"/>
      <c r="Y9" s="44"/>
    </row>
  </sheetData>
  <pageMargins left="0.7" right="0.7" top="0.75" bottom="0.75" header="0" footer="0"/>
  <pageSetup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2A5DB0"/>
  </sheetPr>
  <dimension ref="A1:Z25"/>
  <sheetViews>
    <sheetView workbookViewId="0">
      <pane ySplit="1" topLeftCell="A2" activePane="bottomLeft" state="frozen"/>
      <selection pane="bottomLeft"/>
    </sheetView>
  </sheetViews>
  <sheetFormatPr defaultColWidth="14.44140625" defaultRowHeight="15.75" customHeight="1" x14ac:dyDescent="0.25"/>
  <cols>
    <col min="1" max="1" width="33.109375" customWidth="1"/>
    <col min="2" max="2" width="29.6640625" customWidth="1"/>
    <col min="3" max="3" width="28.6640625" customWidth="1"/>
    <col min="4" max="5" width="22.5546875" customWidth="1"/>
    <col min="6" max="26" width="15.6640625" customWidth="1"/>
  </cols>
  <sheetData>
    <row r="1" spans="1:26" ht="34.5" customHeight="1" x14ac:dyDescent="0.25">
      <c r="A1" s="46" t="s">
        <v>1800</v>
      </c>
      <c r="B1" s="47" t="s">
        <v>10</v>
      </c>
      <c r="C1" s="47" t="s">
        <v>11</v>
      </c>
      <c r="D1" s="60" t="s">
        <v>1680</v>
      </c>
      <c r="E1" s="155" t="s">
        <v>1681</v>
      </c>
      <c r="F1" s="47" t="s">
        <v>1682</v>
      </c>
      <c r="G1" s="48" t="s">
        <v>1683</v>
      </c>
      <c r="H1" s="18"/>
      <c r="I1" s="18"/>
      <c r="J1" s="18"/>
      <c r="K1" s="18"/>
      <c r="L1" s="18"/>
      <c r="M1" s="18"/>
      <c r="N1" s="18"/>
      <c r="O1" s="18"/>
      <c r="P1" s="18"/>
      <c r="Q1" s="18"/>
      <c r="R1" s="18"/>
      <c r="S1" s="18"/>
      <c r="T1" s="18"/>
      <c r="U1" s="18"/>
      <c r="V1" s="18"/>
      <c r="W1" s="18"/>
      <c r="X1" s="18"/>
      <c r="Y1" s="18"/>
      <c r="Z1" s="18"/>
    </row>
    <row r="2" spans="1:26" ht="28.5" customHeight="1" x14ac:dyDescent="0.25">
      <c r="A2" s="26" t="s">
        <v>1801</v>
      </c>
      <c r="B2" s="217"/>
      <c r="C2" s="26"/>
      <c r="D2" s="166">
        <v>98.4</v>
      </c>
      <c r="E2" s="166">
        <v>122.4</v>
      </c>
      <c r="F2" s="19">
        <f t="shared" ref="F2:F25" si="0">D2-E2</f>
        <v>-24</v>
      </c>
      <c r="G2" s="19">
        <f t="shared" ref="G2:G4" si="1">(F2/E2)*100</f>
        <v>-19.607843137254903</v>
      </c>
      <c r="H2" s="18"/>
      <c r="I2" s="18"/>
      <c r="J2" s="18"/>
      <c r="K2" s="18"/>
      <c r="L2" s="18"/>
      <c r="M2" s="18"/>
      <c r="N2" s="18"/>
      <c r="O2" s="18"/>
      <c r="P2" s="18"/>
      <c r="Q2" s="18"/>
      <c r="R2" s="18"/>
      <c r="S2" s="18"/>
      <c r="T2" s="18"/>
      <c r="U2" s="18"/>
      <c r="V2" s="18"/>
      <c r="W2" s="18"/>
      <c r="X2" s="18"/>
      <c r="Y2" s="18"/>
      <c r="Z2" s="18"/>
    </row>
    <row r="3" spans="1:26" ht="28.5" customHeight="1" x14ac:dyDescent="0.25">
      <c r="A3" s="11" t="s">
        <v>627</v>
      </c>
      <c r="B3" s="164" t="s">
        <v>628</v>
      </c>
      <c r="C3" s="11" t="s">
        <v>62</v>
      </c>
      <c r="D3" s="13">
        <v>26.5</v>
      </c>
      <c r="E3" s="62">
        <v>25.7</v>
      </c>
      <c r="F3" s="51">
        <f t="shared" si="0"/>
        <v>0.80000000000000071</v>
      </c>
      <c r="G3" s="51">
        <f t="shared" si="1"/>
        <v>3.1128404669260727</v>
      </c>
      <c r="H3" s="18"/>
      <c r="I3" s="18"/>
      <c r="J3" s="18"/>
      <c r="K3" s="18"/>
      <c r="L3" s="18"/>
      <c r="M3" s="18"/>
      <c r="N3" s="18"/>
      <c r="O3" s="18"/>
      <c r="P3" s="18"/>
      <c r="Q3" s="18"/>
      <c r="R3" s="18"/>
      <c r="S3" s="18"/>
      <c r="T3" s="18"/>
      <c r="U3" s="18"/>
      <c r="V3" s="18"/>
      <c r="W3" s="18"/>
      <c r="X3" s="18"/>
      <c r="Y3" s="18"/>
      <c r="Z3" s="18"/>
    </row>
    <row r="4" spans="1:26" ht="28.5" customHeight="1" x14ac:dyDescent="0.25">
      <c r="A4" s="11" t="s">
        <v>1491</v>
      </c>
      <c r="B4" s="164" t="s">
        <v>1492</v>
      </c>
      <c r="C4" s="11" t="s">
        <v>62</v>
      </c>
      <c r="D4" s="13">
        <v>13.2</v>
      </c>
      <c r="E4" s="62">
        <v>8.5</v>
      </c>
      <c r="F4" s="51">
        <f t="shared" si="0"/>
        <v>4.6999999999999993</v>
      </c>
      <c r="G4" s="51">
        <f t="shared" si="1"/>
        <v>55.294117647058819</v>
      </c>
      <c r="H4" s="18"/>
      <c r="I4" s="18"/>
      <c r="J4" s="18"/>
      <c r="K4" s="18"/>
      <c r="L4" s="18"/>
      <c r="M4" s="18"/>
      <c r="N4" s="18"/>
      <c r="O4" s="18"/>
      <c r="P4" s="18"/>
      <c r="Q4" s="18"/>
      <c r="R4" s="18"/>
      <c r="S4" s="18"/>
      <c r="T4" s="18"/>
      <c r="U4" s="18"/>
      <c r="V4" s="18"/>
      <c r="W4" s="18"/>
      <c r="X4" s="18"/>
      <c r="Y4" s="18"/>
      <c r="Z4" s="18"/>
    </row>
    <row r="5" spans="1:26" ht="28.5" customHeight="1" x14ac:dyDescent="0.25">
      <c r="A5" s="11" t="s">
        <v>1493</v>
      </c>
      <c r="B5" s="164" t="s">
        <v>1494</v>
      </c>
      <c r="C5" s="11" t="s">
        <v>62</v>
      </c>
      <c r="D5" s="120">
        <v>0.2</v>
      </c>
      <c r="E5" s="49">
        <v>0</v>
      </c>
      <c r="F5" s="51">
        <f t="shared" si="0"/>
        <v>0.2</v>
      </c>
      <c r="G5" s="51" t="s">
        <v>1495</v>
      </c>
      <c r="H5" s="18"/>
      <c r="I5" s="18"/>
      <c r="J5" s="18"/>
      <c r="K5" s="18"/>
      <c r="L5" s="18"/>
      <c r="M5" s="18"/>
      <c r="N5" s="18"/>
      <c r="O5" s="18"/>
      <c r="P5" s="18"/>
      <c r="Q5" s="18"/>
      <c r="R5" s="18"/>
      <c r="S5" s="18"/>
      <c r="T5" s="18"/>
      <c r="U5" s="18"/>
      <c r="V5" s="18"/>
      <c r="W5" s="18"/>
      <c r="X5" s="18"/>
      <c r="Y5" s="18"/>
      <c r="Z5" s="18"/>
    </row>
    <row r="6" spans="1:26" ht="28.5" customHeight="1" x14ac:dyDescent="0.25">
      <c r="A6" s="11" t="s">
        <v>1496</v>
      </c>
      <c r="B6" s="164"/>
      <c r="C6" s="24" t="s">
        <v>89</v>
      </c>
      <c r="D6" s="13">
        <v>7.6</v>
      </c>
      <c r="E6" s="62">
        <v>21</v>
      </c>
      <c r="F6" s="51">
        <f t="shared" si="0"/>
        <v>-13.4</v>
      </c>
      <c r="G6" s="51">
        <f t="shared" ref="G6:G25" si="2">(F6/E6)*100</f>
        <v>-63.809523809523817</v>
      </c>
      <c r="H6" s="18"/>
      <c r="I6" s="18"/>
      <c r="J6" s="18"/>
      <c r="K6" s="18"/>
      <c r="L6" s="18"/>
      <c r="M6" s="18"/>
      <c r="N6" s="18"/>
      <c r="O6" s="18"/>
      <c r="P6" s="18"/>
      <c r="Q6" s="18"/>
      <c r="R6" s="18"/>
      <c r="S6" s="18"/>
      <c r="T6" s="18"/>
      <c r="U6" s="18"/>
      <c r="V6" s="18"/>
      <c r="W6" s="18"/>
      <c r="X6" s="18"/>
      <c r="Y6" s="18"/>
      <c r="Z6" s="18"/>
    </row>
    <row r="7" spans="1:26" ht="27.75" customHeight="1" x14ac:dyDescent="0.25">
      <c r="A7" s="11" t="s">
        <v>1497</v>
      </c>
      <c r="B7" s="11" t="s">
        <v>971</v>
      </c>
      <c r="C7" s="24" t="s">
        <v>89</v>
      </c>
      <c r="D7" s="13">
        <v>5.3</v>
      </c>
      <c r="E7" s="62">
        <v>6.4</v>
      </c>
      <c r="F7" s="51">
        <f t="shared" si="0"/>
        <v>-1.1000000000000005</v>
      </c>
      <c r="G7" s="51">
        <f t="shared" si="2"/>
        <v>-17.187500000000007</v>
      </c>
      <c r="H7" s="18"/>
      <c r="I7" s="18"/>
      <c r="J7" s="18"/>
      <c r="K7" s="18"/>
      <c r="L7" s="18"/>
      <c r="M7" s="18"/>
      <c r="N7" s="18"/>
      <c r="O7" s="18"/>
      <c r="P7" s="18"/>
      <c r="Q7" s="18"/>
      <c r="R7" s="18"/>
      <c r="S7" s="18"/>
      <c r="T7" s="18"/>
      <c r="U7" s="18"/>
      <c r="V7" s="18"/>
      <c r="W7" s="18"/>
      <c r="X7" s="18"/>
      <c r="Y7" s="18"/>
      <c r="Z7" s="18"/>
    </row>
    <row r="8" spans="1:26" ht="28.5" customHeight="1" x14ac:dyDescent="0.25">
      <c r="A8" s="11" t="s">
        <v>1498</v>
      </c>
      <c r="B8" s="164" t="s">
        <v>1499</v>
      </c>
      <c r="C8" s="24" t="s">
        <v>89</v>
      </c>
      <c r="D8" s="13">
        <v>2.2999999999999998</v>
      </c>
      <c r="E8" s="62">
        <v>2</v>
      </c>
      <c r="F8" s="51">
        <f t="shared" si="0"/>
        <v>0.29999999999999982</v>
      </c>
      <c r="G8" s="51">
        <f t="shared" si="2"/>
        <v>14.999999999999991</v>
      </c>
      <c r="H8" s="18"/>
      <c r="I8" s="18"/>
      <c r="J8" s="18"/>
      <c r="K8" s="18"/>
      <c r="L8" s="18"/>
      <c r="M8" s="18"/>
      <c r="N8" s="18"/>
      <c r="O8" s="18"/>
      <c r="P8" s="18"/>
      <c r="Q8" s="18"/>
      <c r="R8" s="18"/>
      <c r="S8" s="18"/>
      <c r="T8" s="18"/>
      <c r="U8" s="18"/>
      <c r="V8" s="18"/>
      <c r="W8" s="18"/>
      <c r="X8" s="18"/>
      <c r="Y8" s="18"/>
      <c r="Z8" s="18"/>
    </row>
    <row r="9" spans="1:26" ht="28.5" customHeight="1" x14ac:dyDescent="0.25">
      <c r="A9" s="11" t="s">
        <v>1500</v>
      </c>
      <c r="B9" s="164" t="s">
        <v>1501</v>
      </c>
      <c r="C9" s="163" t="s">
        <v>43</v>
      </c>
      <c r="D9" s="120">
        <v>0.30000000000000004</v>
      </c>
      <c r="E9" s="218">
        <v>0.2</v>
      </c>
      <c r="F9" s="51">
        <f t="shared" si="0"/>
        <v>0.10000000000000003</v>
      </c>
      <c r="G9" s="51">
        <f t="shared" si="2"/>
        <v>50.000000000000014</v>
      </c>
      <c r="H9" s="18"/>
      <c r="I9" s="18"/>
      <c r="J9" s="18"/>
      <c r="K9" s="18"/>
      <c r="L9" s="18"/>
      <c r="M9" s="18"/>
      <c r="N9" s="18"/>
      <c r="O9" s="18"/>
      <c r="P9" s="18"/>
      <c r="Q9" s="18"/>
      <c r="R9" s="18"/>
      <c r="S9" s="18"/>
      <c r="T9" s="18"/>
      <c r="U9" s="18"/>
      <c r="V9" s="18"/>
      <c r="W9" s="18"/>
      <c r="X9" s="18"/>
      <c r="Y9" s="18"/>
      <c r="Z9" s="18"/>
    </row>
    <row r="10" spans="1:26" ht="28.5" customHeight="1" x14ac:dyDescent="0.25">
      <c r="A10" s="11" t="s">
        <v>1502</v>
      </c>
      <c r="B10" s="164" t="s">
        <v>1503</v>
      </c>
      <c r="C10" s="163" t="s">
        <v>113</v>
      </c>
      <c r="D10" s="120">
        <v>0.1</v>
      </c>
      <c r="E10" s="218">
        <v>0.1</v>
      </c>
      <c r="F10" s="51">
        <f t="shared" si="0"/>
        <v>0</v>
      </c>
      <c r="G10" s="51">
        <f t="shared" si="2"/>
        <v>0</v>
      </c>
      <c r="H10" s="18"/>
      <c r="I10" s="18"/>
      <c r="J10" s="18"/>
      <c r="K10" s="18"/>
      <c r="L10" s="18"/>
      <c r="M10" s="18"/>
      <c r="N10" s="18"/>
      <c r="O10" s="18"/>
      <c r="P10" s="18"/>
      <c r="Q10" s="18"/>
      <c r="R10" s="18"/>
      <c r="S10" s="18"/>
      <c r="T10" s="18"/>
      <c r="U10" s="18"/>
      <c r="V10" s="18"/>
      <c r="W10" s="18"/>
      <c r="X10" s="18"/>
      <c r="Y10" s="18"/>
      <c r="Z10" s="18"/>
    </row>
    <row r="11" spans="1:26" ht="28.5" customHeight="1" x14ac:dyDescent="0.25">
      <c r="A11" s="11" t="s">
        <v>1504</v>
      </c>
      <c r="B11" s="164" t="s">
        <v>1378</v>
      </c>
      <c r="C11" s="11" t="s">
        <v>221</v>
      </c>
      <c r="D11" s="13">
        <v>5.8</v>
      </c>
      <c r="E11" s="62">
        <v>6.2</v>
      </c>
      <c r="F11" s="51">
        <f t="shared" si="0"/>
        <v>-0.40000000000000036</v>
      </c>
      <c r="G11" s="51">
        <f t="shared" si="2"/>
        <v>-6.4516129032258114</v>
      </c>
      <c r="H11" s="18"/>
      <c r="I11" s="18"/>
      <c r="J11" s="18"/>
      <c r="K11" s="18"/>
      <c r="L11" s="18"/>
      <c r="M11" s="18"/>
      <c r="N11" s="18"/>
      <c r="O11" s="18"/>
      <c r="P11" s="18"/>
      <c r="Q11" s="18"/>
      <c r="R11" s="18"/>
      <c r="S11" s="18"/>
      <c r="T11" s="18"/>
      <c r="U11" s="18"/>
      <c r="V11" s="18"/>
      <c r="W11" s="18"/>
      <c r="X11" s="18"/>
      <c r="Y11" s="18"/>
      <c r="Z11" s="18"/>
    </row>
    <row r="12" spans="1:26" ht="28.5" customHeight="1" x14ac:dyDescent="0.25">
      <c r="A12" s="65" t="s">
        <v>23</v>
      </c>
      <c r="B12" s="219"/>
      <c r="C12" s="66"/>
      <c r="D12" s="220">
        <v>23.9</v>
      </c>
      <c r="E12" s="221">
        <v>41</v>
      </c>
      <c r="F12" s="207">
        <f t="shared" si="0"/>
        <v>-17.100000000000001</v>
      </c>
      <c r="G12" s="207">
        <f t="shared" si="2"/>
        <v>-41.707317073170735</v>
      </c>
      <c r="H12" s="18"/>
      <c r="I12" s="18"/>
      <c r="J12" s="18"/>
      <c r="K12" s="18"/>
      <c r="L12" s="18"/>
      <c r="M12" s="18"/>
      <c r="N12" s="18"/>
      <c r="O12" s="18"/>
      <c r="P12" s="18"/>
      <c r="Q12" s="18"/>
      <c r="R12" s="18"/>
      <c r="S12" s="18"/>
      <c r="T12" s="18"/>
      <c r="U12" s="18"/>
      <c r="V12" s="18"/>
      <c r="W12" s="18"/>
      <c r="X12" s="18"/>
      <c r="Y12" s="18"/>
      <c r="Z12" s="18"/>
    </row>
    <row r="13" spans="1:26" ht="28.5" customHeight="1" x14ac:dyDescent="0.25">
      <c r="A13" s="11" t="s">
        <v>212</v>
      </c>
      <c r="B13" s="164" t="s">
        <v>213</v>
      </c>
      <c r="C13" s="24" t="s">
        <v>129</v>
      </c>
      <c r="D13" s="13">
        <v>7.1999999999999993</v>
      </c>
      <c r="E13" s="62">
        <v>8.8000000000000007</v>
      </c>
      <c r="F13" s="51">
        <f t="shared" si="0"/>
        <v>-1.6000000000000014</v>
      </c>
      <c r="G13" s="51">
        <f t="shared" si="2"/>
        <v>-18.181818181818198</v>
      </c>
      <c r="H13" s="18"/>
      <c r="I13" s="18"/>
      <c r="J13" s="18"/>
      <c r="K13" s="18"/>
      <c r="L13" s="18"/>
      <c r="M13" s="18"/>
      <c r="N13" s="18"/>
      <c r="O13" s="18"/>
      <c r="P13" s="18"/>
      <c r="Q13" s="18"/>
      <c r="R13" s="18"/>
      <c r="S13" s="18"/>
      <c r="T13" s="18"/>
      <c r="U13" s="18"/>
      <c r="V13" s="18"/>
      <c r="W13" s="18"/>
      <c r="X13" s="18"/>
      <c r="Y13" s="18"/>
      <c r="Z13" s="18"/>
    </row>
    <row r="14" spans="1:26" ht="28.5" customHeight="1" x14ac:dyDescent="0.25">
      <c r="A14" s="11" t="s">
        <v>1505</v>
      </c>
      <c r="B14" s="164" t="s">
        <v>1506</v>
      </c>
      <c r="C14" s="24" t="s">
        <v>129</v>
      </c>
      <c r="D14" s="13">
        <v>3.6</v>
      </c>
      <c r="E14" s="62">
        <v>4.3</v>
      </c>
      <c r="F14" s="51">
        <f t="shared" si="0"/>
        <v>-0.69999999999999973</v>
      </c>
      <c r="G14" s="51">
        <f t="shared" si="2"/>
        <v>-16.279069767441857</v>
      </c>
      <c r="H14" s="18"/>
      <c r="I14" s="18"/>
      <c r="J14" s="18"/>
      <c r="K14" s="18"/>
      <c r="L14" s="18"/>
      <c r="M14" s="18"/>
      <c r="N14" s="18"/>
      <c r="O14" s="18"/>
      <c r="P14" s="18"/>
      <c r="Q14" s="18"/>
      <c r="R14" s="18"/>
      <c r="S14" s="18"/>
      <c r="T14" s="18"/>
      <c r="U14" s="18"/>
      <c r="V14" s="18"/>
      <c r="W14" s="18"/>
      <c r="X14" s="18"/>
      <c r="Y14" s="18"/>
      <c r="Z14" s="18"/>
    </row>
    <row r="15" spans="1:26" ht="28.5" customHeight="1" x14ac:dyDescent="0.25">
      <c r="A15" s="11" t="s">
        <v>1507</v>
      </c>
      <c r="B15" s="164"/>
      <c r="C15" s="163"/>
      <c r="D15" s="13">
        <v>24.3</v>
      </c>
      <c r="E15" s="62">
        <v>31.3</v>
      </c>
      <c r="F15" s="51">
        <f t="shared" si="0"/>
        <v>-7</v>
      </c>
      <c r="G15" s="51">
        <f t="shared" si="2"/>
        <v>-22.364217252396166</v>
      </c>
      <c r="H15" s="18"/>
      <c r="I15" s="18"/>
      <c r="J15" s="18"/>
      <c r="K15" s="18"/>
      <c r="L15" s="18"/>
      <c r="M15" s="18"/>
      <c r="N15" s="18"/>
      <c r="O15" s="18"/>
      <c r="P15" s="18"/>
      <c r="Q15" s="18"/>
      <c r="R15" s="18"/>
      <c r="S15" s="18"/>
      <c r="T15" s="18"/>
      <c r="U15" s="18"/>
      <c r="V15" s="18"/>
      <c r="W15" s="18"/>
      <c r="X15" s="18"/>
      <c r="Y15" s="18"/>
      <c r="Z15" s="18"/>
    </row>
    <row r="16" spans="1:26" ht="28.5" customHeight="1" x14ac:dyDescent="0.3">
      <c r="A16" s="11" t="s">
        <v>1508</v>
      </c>
      <c r="B16" s="222"/>
      <c r="C16" s="223"/>
      <c r="D16" s="13">
        <v>7</v>
      </c>
      <c r="E16" s="50">
        <v>10.9</v>
      </c>
      <c r="F16" s="51">
        <f t="shared" si="0"/>
        <v>-3.9000000000000004</v>
      </c>
      <c r="G16" s="51">
        <f t="shared" si="2"/>
        <v>-35.779816513761467</v>
      </c>
      <c r="H16" s="224"/>
      <c r="I16" s="224"/>
      <c r="J16" s="224"/>
      <c r="K16" s="224"/>
      <c r="L16" s="224"/>
      <c r="M16" s="224"/>
      <c r="N16" s="224"/>
      <c r="O16" s="224"/>
      <c r="P16" s="224"/>
      <c r="Q16" s="224"/>
      <c r="R16" s="224"/>
      <c r="S16" s="224"/>
      <c r="T16" s="224"/>
      <c r="U16" s="224"/>
      <c r="V16" s="224"/>
      <c r="W16" s="224"/>
      <c r="X16" s="224"/>
      <c r="Y16" s="224"/>
      <c r="Z16" s="224"/>
    </row>
    <row r="17" spans="1:26" ht="28.5" customHeight="1" x14ac:dyDescent="0.3">
      <c r="A17" s="11" t="s">
        <v>1509</v>
      </c>
      <c r="B17" s="222"/>
      <c r="C17" s="223"/>
      <c r="D17" s="13">
        <v>9.8000000000000007</v>
      </c>
      <c r="E17" s="50">
        <v>13.5</v>
      </c>
      <c r="F17" s="51">
        <f t="shared" si="0"/>
        <v>-3.6999999999999993</v>
      </c>
      <c r="G17" s="51">
        <f t="shared" si="2"/>
        <v>-27.407407407407401</v>
      </c>
      <c r="H17" s="224"/>
      <c r="I17" s="224"/>
      <c r="J17" s="224"/>
      <c r="K17" s="224"/>
      <c r="L17" s="224"/>
      <c r="M17" s="224"/>
      <c r="N17" s="224"/>
      <c r="O17" s="224"/>
      <c r="P17" s="224"/>
      <c r="Q17" s="224"/>
      <c r="R17" s="224"/>
      <c r="S17" s="224"/>
      <c r="T17" s="224"/>
      <c r="U17" s="224"/>
      <c r="V17" s="224"/>
      <c r="W17" s="224"/>
      <c r="X17" s="224"/>
      <c r="Y17" s="224"/>
      <c r="Z17" s="224"/>
    </row>
    <row r="18" spans="1:26" ht="28.5" customHeight="1" x14ac:dyDescent="0.25">
      <c r="A18" s="11" t="s">
        <v>1510</v>
      </c>
      <c r="B18" s="164"/>
      <c r="C18" s="163"/>
      <c r="D18" s="13">
        <v>15.9</v>
      </c>
      <c r="E18" s="62">
        <v>17.600000000000001</v>
      </c>
      <c r="F18" s="51">
        <f t="shared" si="0"/>
        <v>-1.7000000000000011</v>
      </c>
      <c r="G18" s="51">
        <f t="shared" si="2"/>
        <v>-9.6590909090909136</v>
      </c>
      <c r="H18" s="18"/>
      <c r="I18" s="18"/>
      <c r="J18" s="18"/>
      <c r="K18" s="18"/>
      <c r="L18" s="18"/>
      <c r="M18" s="18"/>
      <c r="N18" s="18"/>
      <c r="O18" s="18"/>
      <c r="P18" s="18"/>
      <c r="Q18" s="18"/>
      <c r="R18" s="18"/>
      <c r="S18" s="18"/>
      <c r="T18" s="18"/>
      <c r="U18" s="18"/>
      <c r="V18" s="18"/>
      <c r="W18" s="18"/>
      <c r="X18" s="18"/>
      <c r="Y18" s="18"/>
      <c r="Z18" s="18"/>
    </row>
    <row r="19" spans="1:26" ht="28.5" customHeight="1" x14ac:dyDescent="0.25">
      <c r="A19" s="11" t="s">
        <v>1511</v>
      </c>
      <c r="B19" s="164"/>
      <c r="C19" s="163"/>
      <c r="D19" s="62">
        <v>11.600000000000001</v>
      </c>
      <c r="E19" s="62">
        <v>9.3000000000000007</v>
      </c>
      <c r="F19" s="51">
        <f t="shared" si="0"/>
        <v>2.3000000000000007</v>
      </c>
      <c r="G19" s="51">
        <f t="shared" si="2"/>
        <v>24.731182795698931</v>
      </c>
      <c r="H19" s="18"/>
      <c r="I19" s="18"/>
      <c r="J19" s="18"/>
      <c r="K19" s="18"/>
      <c r="L19" s="18"/>
      <c r="M19" s="18"/>
      <c r="N19" s="18"/>
      <c r="O19" s="18"/>
      <c r="P19" s="18"/>
      <c r="Q19" s="18"/>
      <c r="R19" s="18"/>
      <c r="S19" s="18"/>
      <c r="T19" s="18"/>
      <c r="U19" s="18"/>
      <c r="V19" s="18"/>
      <c r="W19" s="18"/>
      <c r="X19" s="18"/>
      <c r="Y19" s="18"/>
      <c r="Z19" s="18"/>
    </row>
    <row r="20" spans="1:26" ht="28.5" customHeight="1" x14ac:dyDescent="0.25">
      <c r="A20" s="26" t="s">
        <v>1512</v>
      </c>
      <c r="B20" s="217"/>
      <c r="C20" s="165"/>
      <c r="D20" s="166">
        <v>154</v>
      </c>
      <c r="E20" s="166">
        <v>169.2</v>
      </c>
      <c r="F20" s="19">
        <f t="shared" si="0"/>
        <v>-15.199999999999989</v>
      </c>
      <c r="G20" s="19">
        <f t="shared" si="2"/>
        <v>-8.9834515366430203</v>
      </c>
      <c r="H20" s="18"/>
      <c r="I20" s="18"/>
      <c r="J20" s="18"/>
      <c r="K20" s="18"/>
      <c r="L20" s="18"/>
      <c r="M20" s="18"/>
      <c r="N20" s="18"/>
      <c r="O20" s="18"/>
      <c r="P20" s="18"/>
      <c r="Q20" s="18"/>
      <c r="R20" s="18"/>
      <c r="S20" s="18"/>
      <c r="T20" s="18"/>
      <c r="U20" s="18"/>
      <c r="V20" s="18"/>
      <c r="W20" s="18"/>
      <c r="X20" s="18"/>
      <c r="Y20" s="18"/>
      <c r="Z20" s="18"/>
    </row>
    <row r="21" spans="1:26" ht="28.5" customHeight="1" x14ac:dyDescent="0.25">
      <c r="A21" s="11" t="s">
        <v>1513</v>
      </c>
      <c r="B21" s="164" t="s">
        <v>239</v>
      </c>
      <c r="C21" s="163" t="s">
        <v>239</v>
      </c>
      <c r="D21" s="13">
        <v>127.6</v>
      </c>
      <c r="E21" s="62">
        <v>129</v>
      </c>
      <c r="F21" s="51">
        <f t="shared" si="0"/>
        <v>-1.4000000000000057</v>
      </c>
      <c r="G21" s="51">
        <f t="shared" si="2"/>
        <v>-1.0852713178294617</v>
      </c>
      <c r="H21" s="18"/>
      <c r="I21" s="18"/>
      <c r="J21" s="18"/>
      <c r="K21" s="18"/>
      <c r="L21" s="18"/>
      <c r="M21" s="18"/>
      <c r="N21" s="18"/>
      <c r="O21" s="18"/>
      <c r="P21" s="18"/>
      <c r="Q21" s="18"/>
      <c r="R21" s="18"/>
      <c r="S21" s="18"/>
      <c r="T21" s="18"/>
      <c r="U21" s="18"/>
      <c r="V21" s="18"/>
      <c r="W21" s="18"/>
      <c r="X21" s="18"/>
      <c r="Y21" s="18"/>
      <c r="Z21" s="18"/>
    </row>
    <row r="22" spans="1:26" ht="28.5" customHeight="1" x14ac:dyDescent="0.3">
      <c r="A22" s="11" t="s">
        <v>212</v>
      </c>
      <c r="B22" s="164" t="s">
        <v>213</v>
      </c>
      <c r="C22" s="24" t="s">
        <v>129</v>
      </c>
      <c r="D22" s="13">
        <v>22.1</v>
      </c>
      <c r="E22" s="62">
        <v>22.1</v>
      </c>
      <c r="F22" s="51">
        <f t="shared" si="0"/>
        <v>0</v>
      </c>
      <c r="G22" s="51">
        <f t="shared" si="2"/>
        <v>0</v>
      </c>
      <c r="H22" s="225"/>
      <c r="I22" s="226"/>
      <c r="J22" s="226"/>
      <c r="K22" s="226"/>
      <c r="L22" s="226"/>
      <c r="M22" s="226"/>
      <c r="N22" s="226"/>
      <c r="O22" s="226"/>
      <c r="P22" s="226"/>
      <c r="Q22" s="226"/>
      <c r="R22" s="226"/>
      <c r="S22" s="226"/>
      <c r="T22" s="226"/>
      <c r="U22" s="226"/>
      <c r="V22" s="226"/>
      <c r="W22" s="226"/>
      <c r="X22" s="226"/>
      <c r="Y22" s="226"/>
      <c r="Z22" s="226"/>
    </row>
    <row r="23" spans="1:26" ht="28.5" customHeight="1" x14ac:dyDescent="0.3">
      <c r="A23" s="11" t="s">
        <v>23</v>
      </c>
      <c r="B23" s="164"/>
      <c r="C23" s="163"/>
      <c r="D23" s="13">
        <v>4.4000000000000004</v>
      </c>
      <c r="E23" s="62">
        <v>18</v>
      </c>
      <c r="F23" s="51">
        <f t="shared" si="0"/>
        <v>-13.6</v>
      </c>
      <c r="G23" s="51">
        <f t="shared" si="2"/>
        <v>-75.555555555555557</v>
      </c>
      <c r="H23" s="225"/>
      <c r="I23" s="226"/>
      <c r="J23" s="226"/>
      <c r="K23" s="226"/>
      <c r="L23" s="226"/>
      <c r="M23" s="226"/>
      <c r="N23" s="226"/>
      <c r="O23" s="226"/>
      <c r="P23" s="226"/>
      <c r="Q23" s="226"/>
      <c r="R23" s="226"/>
      <c r="S23" s="226"/>
      <c r="T23" s="226"/>
      <c r="U23" s="226"/>
      <c r="V23" s="226"/>
      <c r="W23" s="226"/>
      <c r="X23" s="226"/>
      <c r="Y23" s="226"/>
      <c r="Z23" s="226"/>
    </row>
    <row r="24" spans="1:26" ht="28.5" customHeight="1" x14ac:dyDescent="0.3">
      <c r="A24" s="11" t="s">
        <v>23</v>
      </c>
      <c r="B24" s="164"/>
      <c r="C24" s="163"/>
      <c r="D24" s="62">
        <v>1.6</v>
      </c>
      <c r="E24" s="62">
        <v>2.2999999999999998</v>
      </c>
      <c r="F24" s="51">
        <f t="shared" si="0"/>
        <v>-0.69999999999999973</v>
      </c>
      <c r="G24" s="51">
        <f t="shared" si="2"/>
        <v>-30.434782608695642</v>
      </c>
      <c r="H24" s="225"/>
      <c r="I24" s="226"/>
      <c r="J24" s="226"/>
      <c r="K24" s="226"/>
      <c r="L24" s="226"/>
      <c r="M24" s="226"/>
      <c r="N24" s="226"/>
      <c r="O24" s="226"/>
      <c r="P24" s="226"/>
      <c r="Q24" s="226"/>
      <c r="R24" s="226"/>
      <c r="S24" s="226"/>
      <c r="T24" s="226"/>
      <c r="U24" s="226"/>
      <c r="V24" s="226"/>
      <c r="W24" s="226"/>
      <c r="X24" s="226"/>
      <c r="Y24" s="226"/>
      <c r="Z24" s="226"/>
    </row>
    <row r="25" spans="1:26" ht="28.5" customHeight="1" x14ac:dyDescent="0.3">
      <c r="A25" s="26" t="s">
        <v>101</v>
      </c>
      <c r="B25" s="217"/>
      <c r="C25" s="165"/>
      <c r="D25" s="166">
        <v>305.8</v>
      </c>
      <c r="E25" s="166">
        <v>352</v>
      </c>
      <c r="F25" s="19">
        <f t="shared" si="0"/>
        <v>-46.199999999999989</v>
      </c>
      <c r="G25" s="19">
        <f t="shared" si="2"/>
        <v>-13.124999999999998</v>
      </c>
      <c r="H25" s="225"/>
      <c r="I25" s="226"/>
      <c r="J25" s="226"/>
      <c r="K25" s="226"/>
      <c r="L25" s="226"/>
      <c r="M25" s="226"/>
      <c r="N25" s="226"/>
      <c r="O25" s="226"/>
      <c r="P25" s="226"/>
      <c r="Q25" s="226"/>
      <c r="R25" s="226"/>
      <c r="S25" s="226"/>
      <c r="T25" s="226"/>
      <c r="U25" s="226"/>
      <c r="V25" s="226"/>
      <c r="W25" s="226"/>
      <c r="X25" s="226"/>
      <c r="Y25" s="226"/>
      <c r="Z25" s="226"/>
    </row>
  </sheetData>
  <pageMargins left="0.7" right="0.7" top="0.75" bottom="0.75" header="0" footer="0"/>
  <pageSetup orientation="landscape"/>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2A5DB0"/>
  </sheetPr>
  <dimension ref="A1:Z14"/>
  <sheetViews>
    <sheetView workbookViewId="0">
      <pane ySplit="1" topLeftCell="A2" activePane="bottomLeft" state="frozen"/>
      <selection pane="bottomLeft"/>
    </sheetView>
  </sheetViews>
  <sheetFormatPr defaultColWidth="14.44140625" defaultRowHeight="15.75" customHeight="1" x14ac:dyDescent="0.25"/>
  <cols>
    <col min="1" max="1" width="41.5546875" customWidth="1"/>
    <col min="2" max="2" width="39.33203125" customWidth="1"/>
    <col min="3" max="3" width="22.6640625" customWidth="1"/>
    <col min="4" max="4" width="18.44140625" customWidth="1"/>
    <col min="5" max="5" width="19.5546875" customWidth="1"/>
    <col min="6" max="6" width="15.6640625" customWidth="1"/>
    <col min="7" max="7" width="15.109375" customWidth="1"/>
    <col min="8" max="26" width="15.6640625" customWidth="1"/>
  </cols>
  <sheetData>
    <row r="1" spans="1:26" ht="34.5" customHeight="1" x14ac:dyDescent="0.25">
      <c r="A1" s="123" t="s">
        <v>1802</v>
      </c>
      <c r="B1" s="124" t="s">
        <v>10</v>
      </c>
      <c r="C1" s="124" t="s">
        <v>11</v>
      </c>
      <c r="D1" s="129" t="s">
        <v>1680</v>
      </c>
      <c r="E1" s="227" t="s">
        <v>1681</v>
      </c>
      <c r="F1" s="124" t="s">
        <v>1682</v>
      </c>
      <c r="G1" s="228" t="s">
        <v>1683</v>
      </c>
      <c r="H1" s="18"/>
      <c r="I1" s="18"/>
      <c r="J1" s="18"/>
      <c r="K1" s="18"/>
      <c r="L1" s="18"/>
      <c r="M1" s="18"/>
      <c r="N1" s="18"/>
      <c r="O1" s="18"/>
      <c r="P1" s="18"/>
      <c r="Q1" s="18"/>
      <c r="R1" s="18"/>
      <c r="S1" s="18"/>
      <c r="T1" s="18"/>
      <c r="U1" s="18"/>
      <c r="V1" s="18"/>
      <c r="W1" s="18"/>
      <c r="X1" s="18"/>
      <c r="Y1" s="18"/>
      <c r="Z1" s="18"/>
    </row>
    <row r="2" spans="1:26" ht="28.5" customHeight="1" x14ac:dyDescent="0.3">
      <c r="A2" s="11" t="s">
        <v>1803</v>
      </c>
      <c r="B2" s="229" t="s">
        <v>1804</v>
      </c>
      <c r="C2" s="24" t="s">
        <v>113</v>
      </c>
      <c r="D2" s="62">
        <v>4585</v>
      </c>
      <c r="E2" s="62">
        <v>4508</v>
      </c>
      <c r="F2" s="62">
        <f t="shared" ref="F2:F14" si="0">D2-E2</f>
        <v>77</v>
      </c>
      <c r="G2" s="62">
        <f t="shared" ref="G2:G14" si="1">(F2/E2)*100</f>
        <v>1.7080745341614907</v>
      </c>
      <c r="H2" s="226"/>
      <c r="I2" s="226"/>
      <c r="J2" s="226"/>
      <c r="K2" s="226"/>
      <c r="L2" s="226"/>
      <c r="M2" s="226"/>
      <c r="N2" s="226"/>
      <c r="O2" s="226"/>
      <c r="P2" s="226"/>
      <c r="Q2" s="226"/>
      <c r="R2" s="226"/>
      <c r="S2" s="226"/>
      <c r="T2" s="226"/>
      <c r="U2" s="226"/>
      <c r="V2" s="226"/>
      <c r="W2" s="226"/>
      <c r="X2" s="226"/>
      <c r="Y2" s="226"/>
      <c r="Z2" s="226"/>
    </row>
    <row r="3" spans="1:26" ht="28.5" customHeight="1" x14ac:dyDescent="0.3">
      <c r="A3" s="11" t="s">
        <v>1425</v>
      </c>
      <c r="B3" s="15" t="s">
        <v>1426</v>
      </c>
      <c r="C3" s="24" t="s">
        <v>113</v>
      </c>
      <c r="D3" s="62">
        <v>1705</v>
      </c>
      <c r="E3" s="62">
        <v>1463</v>
      </c>
      <c r="F3" s="62">
        <f t="shared" si="0"/>
        <v>242</v>
      </c>
      <c r="G3" s="62">
        <f t="shared" si="1"/>
        <v>16.541353383458645</v>
      </c>
      <c r="H3" s="226"/>
      <c r="I3" s="226"/>
      <c r="J3" s="226"/>
      <c r="K3" s="226"/>
      <c r="L3" s="226"/>
      <c r="M3" s="226"/>
      <c r="N3" s="226"/>
      <c r="O3" s="226"/>
      <c r="P3" s="226"/>
      <c r="Q3" s="226"/>
      <c r="R3" s="226"/>
      <c r="S3" s="226"/>
      <c r="T3" s="226"/>
      <c r="U3" s="226"/>
      <c r="V3" s="226"/>
      <c r="W3" s="226"/>
      <c r="X3" s="226"/>
      <c r="Y3" s="226"/>
      <c r="Z3" s="226"/>
    </row>
    <row r="4" spans="1:26" ht="28.5" customHeight="1" x14ac:dyDescent="0.3">
      <c r="A4" s="11" t="s">
        <v>1516</v>
      </c>
      <c r="B4" s="230"/>
      <c r="C4" s="230"/>
      <c r="D4" s="62">
        <v>1301</v>
      </c>
      <c r="E4" s="62">
        <v>1373</v>
      </c>
      <c r="F4" s="62">
        <f t="shared" si="0"/>
        <v>-72</v>
      </c>
      <c r="G4" s="62">
        <f t="shared" si="1"/>
        <v>-5.2439912600145666</v>
      </c>
      <c r="H4" s="226"/>
      <c r="I4" s="226"/>
      <c r="J4" s="226"/>
      <c r="K4" s="226"/>
      <c r="L4" s="226"/>
      <c r="M4" s="226"/>
      <c r="N4" s="226"/>
      <c r="O4" s="226"/>
      <c r="P4" s="226"/>
      <c r="Q4" s="226"/>
      <c r="R4" s="226"/>
      <c r="S4" s="226"/>
      <c r="T4" s="226"/>
      <c r="U4" s="226"/>
      <c r="V4" s="226"/>
      <c r="W4" s="226"/>
      <c r="X4" s="226"/>
      <c r="Y4" s="226"/>
      <c r="Z4" s="226"/>
    </row>
    <row r="5" spans="1:26" ht="28.5" customHeight="1" x14ac:dyDescent="0.3">
      <c r="A5" s="11" t="s">
        <v>1517</v>
      </c>
      <c r="B5" s="230" t="s">
        <v>1518</v>
      </c>
      <c r="C5" s="24" t="s">
        <v>113</v>
      </c>
      <c r="D5" s="51">
        <v>587</v>
      </c>
      <c r="E5" s="62">
        <v>34</v>
      </c>
      <c r="F5" s="62">
        <f t="shared" si="0"/>
        <v>553</v>
      </c>
      <c r="G5" s="62">
        <f t="shared" si="1"/>
        <v>1626.4705882352941</v>
      </c>
      <c r="H5" s="226"/>
      <c r="I5" s="226"/>
      <c r="J5" s="226"/>
      <c r="K5" s="226"/>
      <c r="L5" s="226"/>
      <c r="M5" s="226"/>
      <c r="N5" s="226"/>
      <c r="O5" s="226"/>
      <c r="P5" s="226"/>
      <c r="Q5" s="226"/>
      <c r="R5" s="226"/>
      <c r="S5" s="226"/>
      <c r="T5" s="226"/>
      <c r="U5" s="226"/>
      <c r="V5" s="226"/>
      <c r="W5" s="226"/>
      <c r="X5" s="226"/>
      <c r="Y5" s="226"/>
      <c r="Z5" s="226"/>
    </row>
    <row r="6" spans="1:26" ht="28.5" customHeight="1" x14ac:dyDescent="0.3">
      <c r="A6" s="11" t="s">
        <v>1519</v>
      </c>
      <c r="B6" s="230"/>
      <c r="C6" s="230"/>
      <c r="D6" s="62">
        <v>481</v>
      </c>
      <c r="E6" s="62">
        <v>376</v>
      </c>
      <c r="F6" s="62">
        <f t="shared" si="0"/>
        <v>105</v>
      </c>
      <c r="G6" s="62">
        <f t="shared" si="1"/>
        <v>27.925531914893615</v>
      </c>
      <c r="H6" s="226"/>
      <c r="I6" s="226"/>
      <c r="J6" s="226"/>
      <c r="K6" s="226"/>
      <c r="L6" s="226"/>
      <c r="M6" s="226"/>
      <c r="N6" s="226"/>
      <c r="O6" s="226"/>
      <c r="P6" s="226"/>
      <c r="Q6" s="226"/>
      <c r="R6" s="226"/>
      <c r="S6" s="226"/>
      <c r="T6" s="226"/>
      <c r="U6" s="226"/>
      <c r="V6" s="226"/>
      <c r="W6" s="226"/>
      <c r="X6" s="226"/>
      <c r="Y6" s="226"/>
      <c r="Z6" s="226"/>
    </row>
    <row r="7" spans="1:26" ht="28.5" customHeight="1" x14ac:dyDescent="0.3">
      <c r="A7" s="26" t="s">
        <v>1520</v>
      </c>
      <c r="B7" s="231"/>
      <c r="C7" s="231"/>
      <c r="D7" s="166">
        <v>8660</v>
      </c>
      <c r="E7" s="166">
        <v>7755</v>
      </c>
      <c r="F7" s="166">
        <f t="shared" si="0"/>
        <v>905</v>
      </c>
      <c r="G7" s="166">
        <f t="shared" si="1"/>
        <v>11.669890393294649</v>
      </c>
      <c r="H7" s="226"/>
      <c r="I7" s="226"/>
      <c r="J7" s="226"/>
      <c r="K7" s="226"/>
      <c r="L7" s="226"/>
      <c r="M7" s="226"/>
      <c r="N7" s="226"/>
      <c r="O7" s="226"/>
      <c r="P7" s="226"/>
      <c r="Q7" s="226"/>
      <c r="R7" s="226"/>
      <c r="S7" s="226"/>
      <c r="T7" s="226"/>
      <c r="U7" s="226"/>
      <c r="V7" s="226"/>
      <c r="W7" s="226"/>
      <c r="X7" s="226"/>
      <c r="Y7" s="226"/>
      <c r="Z7" s="226"/>
    </row>
    <row r="8" spans="1:26" ht="28.5" customHeight="1" x14ac:dyDescent="0.3">
      <c r="A8" s="11" t="s">
        <v>1521</v>
      </c>
      <c r="B8" s="230" t="s">
        <v>1522</v>
      </c>
      <c r="C8" s="24" t="s">
        <v>43</v>
      </c>
      <c r="D8" s="62">
        <v>2079</v>
      </c>
      <c r="E8" s="62">
        <v>1571</v>
      </c>
      <c r="F8" s="62">
        <f t="shared" si="0"/>
        <v>508</v>
      </c>
      <c r="G8" s="62">
        <f t="shared" si="1"/>
        <v>32.33609166136219</v>
      </c>
      <c r="H8" s="226"/>
      <c r="I8" s="226"/>
      <c r="J8" s="226"/>
      <c r="K8" s="226"/>
      <c r="L8" s="226"/>
      <c r="M8" s="226"/>
      <c r="N8" s="226"/>
      <c r="O8" s="226"/>
      <c r="P8" s="226"/>
      <c r="Q8" s="226"/>
      <c r="R8" s="226"/>
      <c r="S8" s="226"/>
      <c r="T8" s="226"/>
      <c r="U8" s="226"/>
      <c r="V8" s="226"/>
      <c r="W8" s="226"/>
      <c r="X8" s="226"/>
      <c r="Y8" s="226"/>
      <c r="Z8" s="226"/>
    </row>
    <row r="9" spans="1:26" ht="28.5" customHeight="1" x14ac:dyDescent="0.3">
      <c r="A9" s="11" t="s">
        <v>235</v>
      </c>
      <c r="B9" s="229" t="s">
        <v>236</v>
      </c>
      <c r="C9" s="24" t="s">
        <v>43</v>
      </c>
      <c r="D9" s="51">
        <v>2726</v>
      </c>
      <c r="E9" s="62">
        <v>2594</v>
      </c>
      <c r="F9" s="62">
        <f t="shared" si="0"/>
        <v>132</v>
      </c>
      <c r="G9" s="62">
        <f t="shared" si="1"/>
        <v>5.088666152659985</v>
      </c>
      <c r="H9" s="226"/>
      <c r="I9" s="226"/>
      <c r="J9" s="226"/>
      <c r="K9" s="226"/>
      <c r="L9" s="226"/>
      <c r="M9" s="226"/>
      <c r="N9" s="226"/>
      <c r="O9" s="226"/>
      <c r="P9" s="226"/>
      <c r="Q9" s="226"/>
      <c r="R9" s="226"/>
      <c r="S9" s="226"/>
      <c r="T9" s="226"/>
      <c r="U9" s="226"/>
      <c r="V9" s="226"/>
      <c r="W9" s="226"/>
      <c r="X9" s="226"/>
      <c r="Y9" s="226"/>
      <c r="Z9" s="226"/>
    </row>
    <row r="10" spans="1:26" ht="28.5" customHeight="1" x14ac:dyDescent="0.3">
      <c r="A10" s="11" t="s">
        <v>1523</v>
      </c>
      <c r="B10" s="230" t="s">
        <v>1524</v>
      </c>
      <c r="C10" s="24" t="s">
        <v>43</v>
      </c>
      <c r="D10" s="51">
        <v>609</v>
      </c>
      <c r="E10" s="62">
        <v>542</v>
      </c>
      <c r="F10" s="62">
        <f t="shared" si="0"/>
        <v>67</v>
      </c>
      <c r="G10" s="62">
        <f t="shared" si="1"/>
        <v>12.361623616236162</v>
      </c>
      <c r="H10" s="226"/>
      <c r="I10" s="226"/>
      <c r="J10" s="226"/>
      <c r="K10" s="226"/>
      <c r="L10" s="226"/>
      <c r="M10" s="226"/>
      <c r="N10" s="226"/>
      <c r="O10" s="226"/>
      <c r="P10" s="226"/>
      <c r="Q10" s="226"/>
      <c r="R10" s="226"/>
      <c r="S10" s="226"/>
      <c r="T10" s="226"/>
      <c r="U10" s="226"/>
      <c r="V10" s="226"/>
      <c r="W10" s="226"/>
      <c r="X10" s="226"/>
      <c r="Y10" s="226"/>
      <c r="Z10" s="226"/>
    </row>
    <row r="11" spans="1:26" ht="28.5" customHeight="1" x14ac:dyDescent="0.3">
      <c r="A11" s="26" t="s">
        <v>43</v>
      </c>
      <c r="B11" s="231"/>
      <c r="C11" s="232" t="s">
        <v>43</v>
      </c>
      <c r="D11" s="166">
        <v>5416</v>
      </c>
      <c r="E11" s="166">
        <v>4706</v>
      </c>
      <c r="F11" s="166">
        <f t="shared" si="0"/>
        <v>710</v>
      </c>
      <c r="G11" s="166">
        <f t="shared" si="1"/>
        <v>15.087122821929452</v>
      </c>
      <c r="H11" s="226"/>
      <c r="I11" s="226"/>
      <c r="J11" s="226"/>
      <c r="K11" s="226"/>
      <c r="L11" s="226"/>
      <c r="M11" s="226"/>
      <c r="N11" s="226"/>
      <c r="O11" s="226"/>
      <c r="P11" s="226"/>
      <c r="Q11" s="226"/>
      <c r="R11" s="226"/>
      <c r="S11" s="226"/>
      <c r="T11" s="226"/>
      <c r="U11" s="226"/>
      <c r="V11" s="226"/>
      <c r="W11" s="226"/>
      <c r="X11" s="226"/>
      <c r="Y11" s="226"/>
      <c r="Z11" s="226"/>
    </row>
    <row r="12" spans="1:26" ht="28.5" customHeight="1" x14ac:dyDescent="0.3">
      <c r="A12" s="11" t="s">
        <v>1525</v>
      </c>
      <c r="B12" s="230"/>
      <c r="C12" s="230"/>
      <c r="D12" s="62">
        <v>1186</v>
      </c>
      <c r="E12" s="62">
        <v>1787</v>
      </c>
      <c r="F12" s="62">
        <f t="shared" si="0"/>
        <v>-601</v>
      </c>
      <c r="G12" s="62">
        <f t="shared" si="1"/>
        <v>-33.631785114717403</v>
      </c>
      <c r="H12" s="226"/>
      <c r="I12" s="226"/>
      <c r="J12" s="226"/>
      <c r="K12" s="226"/>
      <c r="L12" s="226"/>
      <c r="M12" s="226"/>
      <c r="N12" s="226"/>
      <c r="O12" s="226"/>
      <c r="P12" s="226"/>
      <c r="Q12" s="226"/>
      <c r="R12" s="226"/>
      <c r="S12" s="226"/>
      <c r="T12" s="226"/>
      <c r="U12" s="226"/>
      <c r="V12" s="226"/>
      <c r="W12" s="226"/>
      <c r="X12" s="226"/>
      <c r="Y12" s="226"/>
      <c r="Z12" s="226"/>
    </row>
    <row r="13" spans="1:26" ht="28.5" customHeight="1" x14ac:dyDescent="0.3">
      <c r="A13" s="26" t="s">
        <v>1525</v>
      </c>
      <c r="B13" s="233"/>
      <c r="C13" s="233"/>
      <c r="D13" s="166">
        <v>1186</v>
      </c>
      <c r="E13" s="166">
        <v>1787</v>
      </c>
      <c r="F13" s="166">
        <f t="shared" si="0"/>
        <v>-601</v>
      </c>
      <c r="G13" s="166">
        <f t="shared" si="1"/>
        <v>-33.631785114717403</v>
      </c>
      <c r="H13" s="226"/>
      <c r="I13" s="226"/>
      <c r="J13" s="226"/>
      <c r="K13" s="226"/>
      <c r="L13" s="226"/>
      <c r="M13" s="226"/>
      <c r="N13" s="226"/>
      <c r="O13" s="226"/>
      <c r="P13" s="226"/>
      <c r="Q13" s="226"/>
      <c r="R13" s="226"/>
      <c r="S13" s="226"/>
      <c r="T13" s="226"/>
      <c r="U13" s="226"/>
      <c r="V13" s="226"/>
      <c r="W13" s="226"/>
      <c r="X13" s="226"/>
      <c r="Y13" s="226"/>
      <c r="Z13" s="226"/>
    </row>
    <row r="14" spans="1:26" ht="28.5" customHeight="1" x14ac:dyDescent="0.3">
      <c r="A14" s="26" t="s">
        <v>501</v>
      </c>
      <c r="B14" s="231"/>
      <c r="C14" s="231"/>
      <c r="D14" s="166">
        <v>15261</v>
      </c>
      <c r="E14" s="166">
        <v>14248</v>
      </c>
      <c r="F14" s="166">
        <f t="shared" si="0"/>
        <v>1013</v>
      </c>
      <c r="G14" s="166">
        <f t="shared" si="1"/>
        <v>7.1097697922515444</v>
      </c>
      <c r="H14" s="226"/>
      <c r="I14" s="226"/>
      <c r="J14" s="226"/>
      <c r="K14" s="226"/>
      <c r="L14" s="226"/>
      <c r="M14" s="226"/>
      <c r="N14" s="226"/>
      <c r="O14" s="226"/>
      <c r="P14" s="226"/>
      <c r="Q14" s="226"/>
      <c r="R14" s="226"/>
      <c r="S14" s="226"/>
      <c r="T14" s="226"/>
      <c r="U14" s="226"/>
      <c r="V14" s="226"/>
      <c r="W14" s="226"/>
      <c r="X14" s="226"/>
      <c r="Y14" s="226"/>
      <c r="Z14" s="226"/>
    </row>
  </sheetData>
  <pageMargins left="0.7" right="0.7" top="0.75" bottom="0.75" header="0" footer="0"/>
  <pageSetup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2A5DB0"/>
  </sheetPr>
  <dimension ref="A1:Z57"/>
  <sheetViews>
    <sheetView workbookViewId="0">
      <pane ySplit="1" topLeftCell="A2" activePane="bottomLeft" state="frozen"/>
      <selection pane="bottomLeft"/>
    </sheetView>
  </sheetViews>
  <sheetFormatPr defaultColWidth="14.44140625" defaultRowHeight="15.75" customHeight="1" x14ac:dyDescent="0.25"/>
  <cols>
    <col min="1" max="1" width="32.33203125" customWidth="1"/>
    <col min="2" max="2" width="21" customWidth="1"/>
    <col min="3" max="3" width="32.109375" customWidth="1"/>
    <col min="4" max="5" width="18.88671875" customWidth="1"/>
    <col min="6" max="6" width="18.109375" customWidth="1"/>
    <col min="7" max="7" width="15.6640625" customWidth="1"/>
    <col min="8" max="22" width="9.109375" customWidth="1"/>
  </cols>
  <sheetData>
    <row r="1" spans="1:26" ht="34.5" customHeight="1" x14ac:dyDescent="0.25">
      <c r="A1" s="279" t="s">
        <v>1805</v>
      </c>
      <c r="B1" s="280" t="s">
        <v>10</v>
      </c>
      <c r="C1" s="280" t="s">
        <v>11</v>
      </c>
      <c r="D1" s="281" t="s">
        <v>1687</v>
      </c>
      <c r="E1" s="281" t="s">
        <v>1688</v>
      </c>
      <c r="F1" s="281" t="s">
        <v>1682</v>
      </c>
      <c r="G1" s="281" t="s">
        <v>1683</v>
      </c>
      <c r="H1" s="10"/>
      <c r="I1" s="10"/>
      <c r="J1" s="10"/>
      <c r="K1" s="10"/>
      <c r="L1" s="10"/>
      <c r="M1" s="10"/>
      <c r="N1" s="10"/>
      <c r="O1" s="10"/>
      <c r="P1" s="10"/>
      <c r="Q1" s="10"/>
      <c r="R1" s="10"/>
      <c r="S1" s="10"/>
      <c r="T1" s="10"/>
      <c r="U1" s="10"/>
      <c r="V1" s="10"/>
      <c r="W1" s="234"/>
      <c r="X1" s="234"/>
      <c r="Y1" s="234"/>
      <c r="Z1" s="234"/>
    </row>
    <row r="2" spans="1:26" ht="28.5" customHeight="1" x14ac:dyDescent="0.25">
      <c r="A2" s="24" t="s">
        <v>1806</v>
      </c>
      <c r="B2" s="24" t="s">
        <v>1807</v>
      </c>
      <c r="C2" s="24" t="s">
        <v>97</v>
      </c>
      <c r="D2" s="25">
        <v>402.9</v>
      </c>
      <c r="E2" s="25">
        <v>331.70000000000005</v>
      </c>
      <c r="F2" s="25">
        <f t="shared" ref="F2:F57" si="0">E2-D2</f>
        <v>-71.199999999999932</v>
      </c>
      <c r="G2" s="25">
        <f t="shared" ref="G2:G57" si="1">(F2/E2)*100</f>
        <v>-21.465179378956865</v>
      </c>
      <c r="H2" s="17"/>
      <c r="I2" s="17"/>
      <c r="J2" s="17"/>
      <c r="K2" s="17"/>
      <c r="L2" s="17"/>
      <c r="M2" s="17"/>
      <c r="N2" s="17"/>
      <c r="O2" s="17"/>
      <c r="P2" s="17"/>
      <c r="Q2" s="17"/>
      <c r="R2" s="17"/>
      <c r="S2" s="17"/>
      <c r="T2" s="17"/>
      <c r="U2" s="17"/>
      <c r="V2" s="17"/>
      <c r="W2" s="235"/>
      <c r="X2" s="235"/>
      <c r="Y2" s="235"/>
      <c r="Z2" s="235"/>
    </row>
    <row r="3" spans="1:26" ht="28.5" customHeight="1" x14ac:dyDescent="0.25">
      <c r="A3" s="24" t="s">
        <v>1527</v>
      </c>
      <c r="B3" s="24" t="s">
        <v>1528</v>
      </c>
      <c r="C3" s="24" t="s">
        <v>97</v>
      </c>
      <c r="D3" s="25">
        <v>58.3</v>
      </c>
      <c r="E3" s="25">
        <v>62.300000000000004</v>
      </c>
      <c r="F3" s="25">
        <f t="shared" si="0"/>
        <v>4.0000000000000071</v>
      </c>
      <c r="G3" s="25">
        <f t="shared" si="1"/>
        <v>6.4205457463884539</v>
      </c>
      <c r="H3" s="17"/>
      <c r="I3" s="17"/>
      <c r="J3" s="17"/>
      <c r="K3" s="17"/>
      <c r="L3" s="17"/>
      <c r="M3" s="17"/>
      <c r="N3" s="17"/>
      <c r="O3" s="17"/>
      <c r="P3" s="17"/>
      <c r="Q3" s="17"/>
      <c r="R3" s="17"/>
      <c r="S3" s="17"/>
      <c r="T3" s="17"/>
      <c r="U3" s="17"/>
      <c r="V3" s="17"/>
      <c r="W3" s="235"/>
      <c r="X3" s="235"/>
      <c r="Y3" s="235"/>
      <c r="Z3" s="235"/>
    </row>
    <row r="4" spans="1:26" ht="28.5" customHeight="1" x14ac:dyDescent="0.25">
      <c r="A4" s="24" t="s">
        <v>1529</v>
      </c>
      <c r="B4" s="24" t="s">
        <v>1529</v>
      </c>
      <c r="C4" s="24" t="s">
        <v>97</v>
      </c>
      <c r="D4" s="25">
        <v>43.5</v>
      </c>
      <c r="E4" s="25">
        <v>52.999999999999993</v>
      </c>
      <c r="F4" s="25">
        <f t="shared" si="0"/>
        <v>9.4999999999999929</v>
      </c>
      <c r="G4" s="25">
        <f t="shared" si="1"/>
        <v>17.924528301886781</v>
      </c>
      <c r="H4" s="17"/>
      <c r="I4" s="17"/>
      <c r="J4" s="17"/>
      <c r="K4" s="17"/>
      <c r="L4" s="17"/>
      <c r="M4" s="17"/>
      <c r="N4" s="17"/>
      <c r="O4" s="17"/>
      <c r="P4" s="17"/>
      <c r="Q4" s="17"/>
      <c r="R4" s="17"/>
      <c r="S4" s="17"/>
      <c r="T4" s="17"/>
      <c r="U4" s="17"/>
      <c r="V4" s="17"/>
      <c r="W4" s="235"/>
      <c r="X4" s="235"/>
      <c r="Y4" s="235"/>
      <c r="Z4" s="235"/>
    </row>
    <row r="5" spans="1:26" ht="28.5" customHeight="1" x14ac:dyDescent="0.25">
      <c r="A5" s="24" t="s">
        <v>1530</v>
      </c>
      <c r="B5" s="24" t="s">
        <v>1531</v>
      </c>
      <c r="C5" s="24" t="s">
        <v>97</v>
      </c>
      <c r="D5" s="25">
        <v>81.2</v>
      </c>
      <c r="E5" s="25">
        <v>69.600000000000009</v>
      </c>
      <c r="F5" s="25">
        <f t="shared" si="0"/>
        <v>-11.599999999999994</v>
      </c>
      <c r="G5" s="25">
        <f t="shared" si="1"/>
        <v>-16.666666666666657</v>
      </c>
      <c r="H5" s="17"/>
      <c r="I5" s="17"/>
      <c r="J5" s="17"/>
      <c r="K5" s="17"/>
      <c r="L5" s="17"/>
      <c r="M5" s="17"/>
      <c r="N5" s="17"/>
      <c r="O5" s="17"/>
      <c r="P5" s="17"/>
      <c r="Q5" s="17"/>
      <c r="R5" s="17"/>
      <c r="S5" s="17"/>
      <c r="T5" s="17"/>
      <c r="U5" s="17"/>
      <c r="V5" s="17"/>
      <c r="W5" s="235"/>
      <c r="X5" s="235"/>
      <c r="Y5" s="235"/>
      <c r="Z5" s="235"/>
    </row>
    <row r="6" spans="1:26" ht="28.5" customHeight="1" x14ac:dyDescent="0.25">
      <c r="A6" s="24" t="s">
        <v>1532</v>
      </c>
      <c r="B6" s="24" t="s">
        <v>1533</v>
      </c>
      <c r="C6" s="24" t="s">
        <v>97</v>
      </c>
      <c r="D6" s="25">
        <v>65</v>
      </c>
      <c r="E6" s="25">
        <v>59.7</v>
      </c>
      <c r="F6" s="25">
        <f t="shared" si="0"/>
        <v>-5.2999999999999972</v>
      </c>
      <c r="G6" s="25">
        <f t="shared" si="1"/>
        <v>-8.8777219430485701</v>
      </c>
      <c r="H6" s="17"/>
      <c r="I6" s="17"/>
      <c r="J6" s="17"/>
      <c r="K6" s="17"/>
      <c r="L6" s="17"/>
      <c r="M6" s="17"/>
      <c r="N6" s="17"/>
      <c r="O6" s="17"/>
      <c r="P6" s="17"/>
      <c r="Q6" s="17"/>
      <c r="R6" s="17"/>
      <c r="S6" s="17"/>
      <c r="T6" s="17"/>
      <c r="U6" s="17"/>
      <c r="V6" s="17"/>
      <c r="W6" s="235"/>
      <c r="X6" s="235"/>
      <c r="Y6" s="235"/>
      <c r="Z6" s="235"/>
    </row>
    <row r="7" spans="1:26" ht="28.5" customHeight="1" x14ac:dyDescent="0.25">
      <c r="A7" s="24" t="s">
        <v>1534</v>
      </c>
      <c r="B7" s="24" t="s">
        <v>1535</v>
      </c>
      <c r="C7" s="24" t="s">
        <v>97</v>
      </c>
      <c r="D7" s="25">
        <v>23.3</v>
      </c>
      <c r="E7" s="25">
        <v>24.9</v>
      </c>
      <c r="F7" s="25">
        <f t="shared" si="0"/>
        <v>1.5999999999999979</v>
      </c>
      <c r="G7" s="25">
        <f t="shared" si="1"/>
        <v>6.4257028112449728</v>
      </c>
      <c r="H7" s="17"/>
      <c r="I7" s="17"/>
      <c r="J7" s="17"/>
      <c r="K7" s="17"/>
      <c r="L7" s="17"/>
      <c r="M7" s="17"/>
      <c r="N7" s="17"/>
      <c r="O7" s="17"/>
      <c r="P7" s="17"/>
      <c r="Q7" s="17"/>
      <c r="R7" s="17"/>
      <c r="S7" s="17"/>
      <c r="T7" s="17"/>
      <c r="U7" s="17"/>
      <c r="V7" s="17"/>
      <c r="W7" s="235"/>
      <c r="X7" s="235"/>
      <c r="Y7" s="235"/>
      <c r="Z7" s="235"/>
    </row>
    <row r="8" spans="1:26" ht="28.5" customHeight="1" x14ac:dyDescent="0.25">
      <c r="A8" s="24" t="s">
        <v>1536</v>
      </c>
      <c r="B8" s="24" t="s">
        <v>496</v>
      </c>
      <c r="C8" s="24" t="s">
        <v>97</v>
      </c>
      <c r="D8" s="25">
        <v>23.9</v>
      </c>
      <c r="E8" s="25">
        <v>21.599999999999998</v>
      </c>
      <c r="F8" s="25">
        <f t="shared" si="0"/>
        <v>-2.3000000000000007</v>
      </c>
      <c r="G8" s="25">
        <f t="shared" si="1"/>
        <v>-10.648148148148152</v>
      </c>
      <c r="H8" s="17"/>
      <c r="I8" s="17"/>
      <c r="J8" s="17"/>
      <c r="K8" s="17"/>
      <c r="L8" s="17"/>
      <c r="M8" s="17"/>
      <c r="N8" s="17"/>
      <c r="O8" s="17"/>
      <c r="P8" s="17"/>
      <c r="Q8" s="17"/>
      <c r="R8" s="17"/>
      <c r="S8" s="17"/>
      <c r="T8" s="17"/>
      <c r="U8" s="17"/>
      <c r="V8" s="17"/>
      <c r="W8" s="235"/>
      <c r="X8" s="235"/>
      <c r="Y8" s="235"/>
      <c r="Z8" s="235"/>
    </row>
    <row r="9" spans="1:26" ht="28.5" customHeight="1" x14ac:dyDescent="0.25">
      <c r="A9" s="24" t="s">
        <v>965</v>
      </c>
      <c r="B9" s="24" t="s">
        <v>966</v>
      </c>
      <c r="C9" s="24" t="s">
        <v>97</v>
      </c>
      <c r="D9" s="25">
        <v>24.9</v>
      </c>
      <c r="E9" s="25">
        <v>29.2</v>
      </c>
      <c r="F9" s="25">
        <f t="shared" si="0"/>
        <v>4.3000000000000007</v>
      </c>
      <c r="G9" s="25">
        <f t="shared" si="1"/>
        <v>14.726027397260278</v>
      </c>
      <c r="H9" s="17"/>
      <c r="I9" s="17"/>
      <c r="J9" s="17"/>
      <c r="K9" s="17"/>
      <c r="L9" s="17"/>
      <c r="M9" s="17"/>
      <c r="N9" s="17"/>
      <c r="O9" s="17"/>
      <c r="P9" s="17"/>
      <c r="Q9" s="17"/>
      <c r="R9" s="17"/>
      <c r="S9" s="17"/>
      <c r="T9" s="17"/>
      <c r="U9" s="17"/>
      <c r="V9" s="17"/>
      <c r="W9" s="235"/>
      <c r="X9" s="235"/>
      <c r="Y9" s="235"/>
      <c r="Z9" s="235"/>
    </row>
    <row r="10" spans="1:26" ht="28.5" customHeight="1" x14ac:dyDescent="0.25">
      <c r="A10" s="24" t="s">
        <v>1537</v>
      </c>
      <c r="B10" s="24" t="s">
        <v>1538</v>
      </c>
      <c r="C10" s="24" t="s">
        <v>97</v>
      </c>
      <c r="D10" s="25">
        <v>10.4</v>
      </c>
      <c r="E10" s="25">
        <v>5.3999999999999995</v>
      </c>
      <c r="F10" s="25">
        <f t="shared" si="0"/>
        <v>-5.0000000000000009</v>
      </c>
      <c r="G10" s="25">
        <f t="shared" si="1"/>
        <v>-92.592592592592609</v>
      </c>
      <c r="H10" s="17"/>
      <c r="I10" s="17"/>
      <c r="J10" s="17"/>
      <c r="K10" s="17"/>
      <c r="L10" s="17"/>
      <c r="M10" s="17"/>
      <c r="N10" s="17"/>
      <c r="O10" s="17"/>
      <c r="P10" s="17"/>
      <c r="Q10" s="17"/>
      <c r="R10" s="17"/>
      <c r="S10" s="17"/>
      <c r="T10" s="17"/>
      <c r="U10" s="17"/>
      <c r="V10" s="17"/>
      <c r="W10" s="235"/>
      <c r="X10" s="235"/>
      <c r="Y10" s="235"/>
      <c r="Z10" s="235"/>
    </row>
    <row r="11" spans="1:26" ht="28.5" customHeight="1" x14ac:dyDescent="0.25">
      <c r="A11" s="24" t="s">
        <v>177</v>
      </c>
      <c r="B11" s="24"/>
      <c r="C11" s="24" t="s">
        <v>97</v>
      </c>
      <c r="D11" s="25">
        <v>20.3</v>
      </c>
      <c r="E11" s="25">
        <v>22.199999999999996</v>
      </c>
      <c r="F11" s="25">
        <f t="shared" si="0"/>
        <v>1.899999999999995</v>
      </c>
      <c r="G11" s="25">
        <f t="shared" si="1"/>
        <v>8.5585585585585378</v>
      </c>
      <c r="H11" s="17"/>
      <c r="I11" s="17"/>
      <c r="J11" s="17"/>
      <c r="K11" s="17"/>
      <c r="L11" s="17"/>
      <c r="M11" s="17"/>
      <c r="N11" s="17"/>
      <c r="O11" s="17"/>
      <c r="P11" s="17"/>
      <c r="Q11" s="17"/>
      <c r="R11" s="17"/>
      <c r="S11" s="17"/>
      <c r="T11" s="17"/>
      <c r="U11" s="17"/>
      <c r="V11" s="17"/>
      <c r="W11" s="235"/>
      <c r="X11" s="235"/>
      <c r="Y11" s="235"/>
      <c r="Z11" s="235"/>
    </row>
    <row r="12" spans="1:26" ht="28.5" customHeight="1" x14ac:dyDescent="0.25">
      <c r="A12" s="30" t="s">
        <v>97</v>
      </c>
      <c r="B12" s="30"/>
      <c r="C12" s="31" t="s">
        <v>97</v>
      </c>
      <c r="D12" s="22">
        <v>753.5</v>
      </c>
      <c r="E12" s="22">
        <v>679.6</v>
      </c>
      <c r="F12" s="22">
        <f t="shared" si="0"/>
        <v>-73.899999999999977</v>
      </c>
      <c r="G12" s="22">
        <f t="shared" si="1"/>
        <v>-10.874043555032369</v>
      </c>
      <c r="H12" s="17"/>
      <c r="I12" s="17"/>
      <c r="J12" s="17"/>
      <c r="K12" s="17"/>
      <c r="L12" s="17"/>
      <c r="M12" s="17"/>
      <c r="N12" s="17"/>
      <c r="O12" s="17"/>
      <c r="P12" s="17"/>
      <c r="Q12" s="17"/>
      <c r="R12" s="17"/>
      <c r="S12" s="17"/>
      <c r="T12" s="17"/>
      <c r="U12" s="17"/>
      <c r="V12" s="17"/>
      <c r="W12" s="235"/>
      <c r="X12" s="235"/>
      <c r="Y12" s="235"/>
      <c r="Z12" s="235"/>
    </row>
    <row r="13" spans="1:26" ht="28.5" customHeight="1" x14ac:dyDescent="0.25">
      <c r="A13" s="24" t="s">
        <v>1539</v>
      </c>
      <c r="B13" s="24" t="s">
        <v>1540</v>
      </c>
      <c r="C13" s="24" t="s">
        <v>116</v>
      </c>
      <c r="D13" s="25">
        <v>67.099999999999994</v>
      </c>
      <c r="E13" s="25">
        <v>67.400000000000006</v>
      </c>
      <c r="F13" s="25">
        <f t="shared" si="0"/>
        <v>0.30000000000001137</v>
      </c>
      <c r="G13" s="25">
        <f t="shared" si="1"/>
        <v>0.44510385756678245</v>
      </c>
      <c r="H13" s="17"/>
      <c r="I13" s="17"/>
      <c r="J13" s="17"/>
      <c r="K13" s="17"/>
      <c r="L13" s="17"/>
      <c r="M13" s="17"/>
      <c r="N13" s="17"/>
      <c r="O13" s="17"/>
      <c r="P13" s="17"/>
      <c r="Q13" s="17"/>
      <c r="R13" s="17"/>
      <c r="S13" s="17"/>
      <c r="T13" s="17"/>
      <c r="U13" s="17"/>
      <c r="V13" s="17"/>
      <c r="W13" s="235"/>
      <c r="X13" s="235"/>
      <c r="Y13" s="235"/>
      <c r="Z13" s="235"/>
    </row>
    <row r="14" spans="1:26" ht="28.5" customHeight="1" x14ac:dyDescent="0.25">
      <c r="A14" s="24" t="s">
        <v>1541</v>
      </c>
      <c r="B14" s="24" t="s">
        <v>551</v>
      </c>
      <c r="C14" s="24" t="s">
        <v>116</v>
      </c>
      <c r="D14" s="25">
        <v>51.6</v>
      </c>
      <c r="E14" s="25">
        <v>50</v>
      </c>
      <c r="F14" s="25">
        <f t="shared" si="0"/>
        <v>-1.6000000000000014</v>
      </c>
      <c r="G14" s="25">
        <f t="shared" si="1"/>
        <v>-3.2000000000000028</v>
      </c>
      <c r="H14" s="17"/>
      <c r="I14" s="17"/>
      <c r="J14" s="17"/>
      <c r="K14" s="17"/>
      <c r="L14" s="17"/>
      <c r="M14" s="17"/>
      <c r="N14" s="17"/>
      <c r="O14" s="17"/>
      <c r="P14" s="17"/>
      <c r="Q14" s="17"/>
      <c r="R14" s="17"/>
      <c r="S14" s="17"/>
      <c r="T14" s="17"/>
      <c r="U14" s="17"/>
      <c r="V14" s="17"/>
      <c r="W14" s="235"/>
      <c r="X14" s="235"/>
      <c r="Y14" s="235"/>
      <c r="Z14" s="235"/>
    </row>
    <row r="15" spans="1:26" ht="28.5" customHeight="1" x14ac:dyDescent="0.25">
      <c r="A15" s="24" t="s">
        <v>1542</v>
      </c>
      <c r="B15" s="24" t="s">
        <v>1543</v>
      </c>
      <c r="C15" s="24" t="s">
        <v>116</v>
      </c>
      <c r="D15" s="25">
        <v>38.4</v>
      </c>
      <c r="E15" s="25">
        <v>37.1</v>
      </c>
      <c r="F15" s="25">
        <f t="shared" si="0"/>
        <v>-1.2999999999999972</v>
      </c>
      <c r="G15" s="25">
        <f t="shared" si="1"/>
        <v>-3.5040431266846284</v>
      </c>
      <c r="H15" s="17"/>
      <c r="I15" s="17"/>
      <c r="J15" s="17"/>
      <c r="K15" s="17"/>
      <c r="L15" s="17"/>
      <c r="M15" s="17"/>
      <c r="N15" s="17"/>
      <c r="O15" s="17"/>
      <c r="P15" s="17"/>
      <c r="Q15" s="17"/>
      <c r="R15" s="17"/>
      <c r="S15" s="17"/>
      <c r="T15" s="17"/>
      <c r="U15" s="17"/>
      <c r="V15" s="17"/>
      <c r="W15" s="235"/>
      <c r="X15" s="235"/>
      <c r="Y15" s="235"/>
      <c r="Z15" s="235"/>
    </row>
    <row r="16" spans="1:26" ht="28.5" customHeight="1" x14ac:dyDescent="0.25">
      <c r="A16" s="24" t="s">
        <v>1544</v>
      </c>
      <c r="B16" s="24" t="s">
        <v>1545</v>
      </c>
      <c r="C16" s="24" t="s">
        <v>116</v>
      </c>
      <c r="D16" s="25">
        <v>3.1</v>
      </c>
      <c r="E16" s="25">
        <v>20.100000000000001</v>
      </c>
      <c r="F16" s="25">
        <f t="shared" si="0"/>
        <v>17</v>
      </c>
      <c r="G16" s="25">
        <f t="shared" si="1"/>
        <v>84.577114427860693</v>
      </c>
      <c r="H16" s="17"/>
      <c r="I16" s="17"/>
      <c r="J16" s="17"/>
      <c r="K16" s="17"/>
      <c r="L16" s="17"/>
      <c r="M16" s="17"/>
      <c r="N16" s="17"/>
      <c r="O16" s="17"/>
      <c r="P16" s="17"/>
      <c r="Q16" s="17"/>
      <c r="R16" s="17"/>
      <c r="S16" s="17"/>
      <c r="T16" s="17"/>
      <c r="U16" s="17"/>
      <c r="V16" s="17"/>
      <c r="W16" s="235"/>
      <c r="X16" s="235"/>
      <c r="Y16" s="235"/>
      <c r="Z16" s="235"/>
    </row>
    <row r="17" spans="1:26" ht="28.5" customHeight="1" x14ac:dyDescent="0.25">
      <c r="A17" s="30" t="s">
        <v>1546</v>
      </c>
      <c r="B17" s="30"/>
      <c r="C17" s="31" t="s">
        <v>116</v>
      </c>
      <c r="D17" s="22">
        <v>160.30000000000001</v>
      </c>
      <c r="E17" s="22">
        <v>174.59999999999997</v>
      </c>
      <c r="F17" s="22">
        <f t="shared" si="0"/>
        <v>14.299999999999955</v>
      </c>
      <c r="G17" s="22">
        <f t="shared" si="1"/>
        <v>8.1901489117983708</v>
      </c>
      <c r="H17" s="17"/>
      <c r="I17" s="17"/>
      <c r="J17" s="17"/>
      <c r="K17" s="17"/>
      <c r="L17" s="17"/>
      <c r="M17" s="17"/>
      <c r="N17" s="17"/>
      <c r="O17" s="17"/>
      <c r="P17" s="17"/>
      <c r="Q17" s="17"/>
      <c r="R17" s="17"/>
      <c r="S17" s="17"/>
      <c r="T17" s="17"/>
      <c r="U17" s="17"/>
      <c r="V17" s="17"/>
      <c r="W17" s="235"/>
      <c r="X17" s="235"/>
      <c r="Y17" s="235"/>
      <c r="Z17" s="235"/>
    </row>
    <row r="18" spans="1:26" ht="28.5" customHeight="1" x14ac:dyDescent="0.25">
      <c r="A18" s="24" t="s">
        <v>1547</v>
      </c>
      <c r="B18" s="24" t="s">
        <v>322</v>
      </c>
      <c r="C18" s="24" t="s">
        <v>113</v>
      </c>
      <c r="D18" s="25">
        <v>132</v>
      </c>
      <c r="E18" s="25">
        <v>155.20000000000002</v>
      </c>
      <c r="F18" s="25">
        <f t="shared" si="0"/>
        <v>23.200000000000017</v>
      </c>
      <c r="G18" s="25">
        <f t="shared" si="1"/>
        <v>14.948453608247434</v>
      </c>
      <c r="H18" s="17"/>
      <c r="I18" s="17"/>
      <c r="J18" s="17"/>
      <c r="K18" s="17"/>
      <c r="L18" s="17"/>
      <c r="M18" s="17"/>
      <c r="N18" s="17"/>
      <c r="O18" s="17"/>
      <c r="P18" s="17"/>
      <c r="Q18" s="17"/>
      <c r="R18" s="17"/>
      <c r="S18" s="17"/>
      <c r="T18" s="17"/>
      <c r="U18" s="17"/>
      <c r="V18" s="17"/>
      <c r="W18" s="235"/>
      <c r="X18" s="235"/>
      <c r="Y18" s="235"/>
      <c r="Z18" s="235"/>
    </row>
    <row r="19" spans="1:26" ht="28.5" customHeight="1" x14ac:dyDescent="0.25">
      <c r="A19" s="24" t="s">
        <v>1548</v>
      </c>
      <c r="B19" s="24" t="s">
        <v>1549</v>
      </c>
      <c r="C19" s="24" t="s">
        <v>113</v>
      </c>
      <c r="D19" s="25">
        <v>57.7</v>
      </c>
      <c r="E19" s="25">
        <v>55.6</v>
      </c>
      <c r="F19" s="25">
        <f t="shared" si="0"/>
        <v>-2.1000000000000014</v>
      </c>
      <c r="G19" s="25">
        <f t="shared" si="1"/>
        <v>-3.7769784172661893</v>
      </c>
      <c r="H19" s="17"/>
      <c r="I19" s="17"/>
      <c r="J19" s="17"/>
      <c r="K19" s="17"/>
      <c r="L19" s="17"/>
      <c r="M19" s="17"/>
      <c r="N19" s="17"/>
      <c r="O19" s="17"/>
      <c r="P19" s="17"/>
      <c r="Q19" s="17"/>
      <c r="R19" s="17"/>
      <c r="S19" s="17"/>
      <c r="T19" s="17"/>
      <c r="U19" s="17"/>
      <c r="V19" s="17"/>
      <c r="W19" s="235"/>
      <c r="X19" s="235"/>
      <c r="Y19" s="235"/>
      <c r="Z19" s="235"/>
    </row>
    <row r="20" spans="1:26" ht="28.5" customHeight="1" x14ac:dyDescent="0.25">
      <c r="A20" s="24" t="s">
        <v>1550</v>
      </c>
      <c r="B20" s="24" t="s">
        <v>1551</v>
      </c>
      <c r="C20" s="24" t="s">
        <v>113</v>
      </c>
      <c r="D20" s="25">
        <v>46.2</v>
      </c>
      <c r="E20" s="25">
        <v>49.2</v>
      </c>
      <c r="F20" s="25">
        <f t="shared" si="0"/>
        <v>3</v>
      </c>
      <c r="G20" s="25">
        <f t="shared" si="1"/>
        <v>6.0975609756097562</v>
      </c>
      <c r="H20" s="17"/>
      <c r="I20" s="17"/>
      <c r="J20" s="17"/>
      <c r="K20" s="17"/>
      <c r="L20" s="17"/>
      <c r="M20" s="17"/>
      <c r="N20" s="17"/>
      <c r="O20" s="17"/>
      <c r="P20" s="17"/>
      <c r="Q20" s="17"/>
      <c r="R20" s="17"/>
      <c r="S20" s="17"/>
      <c r="T20" s="17"/>
      <c r="U20" s="17"/>
      <c r="V20" s="17"/>
      <c r="W20" s="235"/>
      <c r="X20" s="235"/>
      <c r="Y20" s="235"/>
      <c r="Z20" s="235"/>
    </row>
    <row r="21" spans="1:26" ht="28.5" customHeight="1" x14ac:dyDescent="0.25">
      <c r="A21" s="24" t="s">
        <v>1552</v>
      </c>
      <c r="B21" s="24" t="s">
        <v>1553</v>
      </c>
      <c r="C21" s="24" t="s">
        <v>113</v>
      </c>
      <c r="D21" s="25">
        <v>17.600000000000001</v>
      </c>
      <c r="E21" s="25">
        <v>23.5</v>
      </c>
      <c r="F21" s="25">
        <f t="shared" si="0"/>
        <v>5.8999999999999986</v>
      </c>
      <c r="G21" s="25">
        <f t="shared" si="1"/>
        <v>25.106382978723396</v>
      </c>
      <c r="H21" s="17"/>
      <c r="I21" s="17"/>
      <c r="J21" s="17"/>
      <c r="K21" s="17"/>
      <c r="L21" s="17"/>
      <c r="M21" s="17"/>
      <c r="N21" s="17"/>
      <c r="O21" s="17"/>
      <c r="P21" s="17"/>
      <c r="Q21" s="17"/>
      <c r="R21" s="17"/>
      <c r="S21" s="17"/>
      <c r="T21" s="17"/>
      <c r="U21" s="17"/>
      <c r="V21" s="17"/>
      <c r="W21" s="235"/>
      <c r="X21" s="235"/>
      <c r="Y21" s="235"/>
      <c r="Z21" s="235"/>
    </row>
    <row r="22" spans="1:26" ht="28.5" customHeight="1" x14ac:dyDescent="0.25">
      <c r="A22" s="24" t="s">
        <v>1554</v>
      </c>
      <c r="B22" s="24"/>
      <c r="C22" s="24" t="s">
        <v>113</v>
      </c>
      <c r="D22" s="25">
        <v>3.4</v>
      </c>
      <c r="E22" s="25">
        <v>3.4</v>
      </c>
      <c r="F22" s="25">
        <f t="shared" si="0"/>
        <v>0</v>
      </c>
      <c r="G22" s="25">
        <f t="shared" si="1"/>
        <v>0</v>
      </c>
      <c r="H22" s="17"/>
      <c r="I22" s="17"/>
      <c r="J22" s="17"/>
      <c r="K22" s="17"/>
      <c r="L22" s="17"/>
      <c r="M22" s="17"/>
      <c r="N22" s="17"/>
      <c r="O22" s="17"/>
      <c r="P22" s="17"/>
      <c r="Q22" s="17"/>
      <c r="R22" s="17"/>
      <c r="S22" s="17"/>
      <c r="T22" s="17"/>
      <c r="U22" s="17"/>
      <c r="V22" s="17"/>
      <c r="W22" s="235"/>
      <c r="X22" s="235"/>
      <c r="Y22" s="235"/>
      <c r="Z22" s="235"/>
    </row>
    <row r="23" spans="1:26" ht="28.5" customHeight="1" x14ac:dyDescent="0.25">
      <c r="A23" s="24" t="s">
        <v>177</v>
      </c>
      <c r="B23" s="24"/>
      <c r="C23" s="24" t="s">
        <v>113</v>
      </c>
      <c r="D23" s="25">
        <v>37</v>
      </c>
      <c r="E23" s="25">
        <v>39</v>
      </c>
      <c r="F23" s="25">
        <f t="shared" si="0"/>
        <v>2</v>
      </c>
      <c r="G23" s="25">
        <f t="shared" si="1"/>
        <v>5.1282051282051277</v>
      </c>
      <c r="H23" s="17"/>
      <c r="I23" s="17"/>
      <c r="J23" s="17"/>
      <c r="K23" s="17"/>
      <c r="L23" s="17"/>
      <c r="M23" s="17"/>
      <c r="N23" s="17"/>
      <c r="O23" s="17"/>
      <c r="P23" s="17"/>
      <c r="Q23" s="17"/>
      <c r="R23" s="17"/>
      <c r="S23" s="17"/>
      <c r="T23" s="17"/>
      <c r="U23" s="17"/>
      <c r="V23" s="17"/>
      <c r="W23" s="235"/>
      <c r="X23" s="235"/>
      <c r="Y23" s="235"/>
      <c r="Z23" s="235"/>
    </row>
    <row r="24" spans="1:26" ht="28.5" customHeight="1" x14ac:dyDescent="0.25">
      <c r="A24" s="30" t="s">
        <v>1555</v>
      </c>
      <c r="B24" s="30"/>
      <c r="C24" s="31" t="s">
        <v>113</v>
      </c>
      <c r="D24" s="22">
        <v>293.7</v>
      </c>
      <c r="E24" s="22">
        <v>325.90000000000003</v>
      </c>
      <c r="F24" s="22">
        <f t="shared" si="0"/>
        <v>32.200000000000045</v>
      </c>
      <c r="G24" s="22">
        <f t="shared" si="1"/>
        <v>9.8803313899969449</v>
      </c>
      <c r="H24" s="17"/>
      <c r="I24" s="17"/>
      <c r="J24" s="17"/>
      <c r="K24" s="17"/>
      <c r="L24" s="17"/>
      <c r="M24" s="17"/>
      <c r="N24" s="17"/>
      <c r="O24" s="17"/>
      <c r="P24" s="17"/>
      <c r="Q24" s="17"/>
      <c r="R24" s="17"/>
      <c r="S24" s="17"/>
      <c r="T24" s="17"/>
      <c r="U24" s="17"/>
      <c r="V24" s="17"/>
      <c r="W24" s="235"/>
      <c r="X24" s="235"/>
      <c r="Y24" s="235"/>
      <c r="Z24" s="235"/>
    </row>
    <row r="25" spans="1:26" ht="28.5" customHeight="1" x14ac:dyDescent="0.25">
      <c r="A25" s="24" t="s">
        <v>1556</v>
      </c>
      <c r="B25" s="24" t="s">
        <v>1557</v>
      </c>
      <c r="C25" s="24" t="s">
        <v>169</v>
      </c>
      <c r="D25" s="25">
        <v>30.1</v>
      </c>
      <c r="E25" s="25">
        <v>29.2</v>
      </c>
      <c r="F25" s="25">
        <f t="shared" si="0"/>
        <v>-0.90000000000000213</v>
      </c>
      <c r="G25" s="25">
        <f t="shared" si="1"/>
        <v>-3.0821917808219252</v>
      </c>
      <c r="H25" s="17"/>
      <c r="I25" s="17"/>
      <c r="J25" s="17"/>
      <c r="K25" s="17"/>
      <c r="L25" s="17"/>
      <c r="M25" s="17"/>
      <c r="N25" s="17"/>
      <c r="O25" s="17"/>
      <c r="P25" s="17"/>
      <c r="Q25" s="17"/>
      <c r="R25" s="17"/>
      <c r="S25" s="17"/>
      <c r="T25" s="17"/>
      <c r="U25" s="17"/>
      <c r="V25" s="17"/>
      <c r="W25" s="235"/>
      <c r="X25" s="235"/>
      <c r="Y25" s="235"/>
      <c r="Z25" s="235"/>
    </row>
    <row r="26" spans="1:26" ht="28.5" customHeight="1" x14ac:dyDescent="0.25">
      <c r="A26" s="24" t="s">
        <v>1558</v>
      </c>
      <c r="B26" s="24" t="s">
        <v>1559</v>
      </c>
      <c r="C26" s="24" t="s">
        <v>169</v>
      </c>
      <c r="D26" s="25">
        <v>85.2</v>
      </c>
      <c r="E26" s="25">
        <v>58.599999999999994</v>
      </c>
      <c r="F26" s="25">
        <f t="shared" si="0"/>
        <v>-26.600000000000009</v>
      </c>
      <c r="G26" s="25">
        <f t="shared" si="1"/>
        <v>-45.392491467576811</v>
      </c>
      <c r="H26" s="17"/>
      <c r="I26" s="17"/>
      <c r="J26" s="17"/>
      <c r="K26" s="17"/>
      <c r="L26" s="17"/>
      <c r="M26" s="17"/>
      <c r="N26" s="17"/>
      <c r="O26" s="17"/>
      <c r="P26" s="17"/>
      <c r="Q26" s="17"/>
      <c r="R26" s="17"/>
      <c r="S26" s="17"/>
      <c r="T26" s="17"/>
      <c r="U26" s="17"/>
      <c r="V26" s="17"/>
      <c r="W26" s="235"/>
      <c r="X26" s="235"/>
      <c r="Y26" s="235"/>
      <c r="Z26" s="235"/>
    </row>
    <row r="27" spans="1:26" ht="28.5" customHeight="1" x14ac:dyDescent="0.25">
      <c r="A27" s="11" t="s">
        <v>1560</v>
      </c>
      <c r="B27" s="11" t="s">
        <v>1561</v>
      </c>
      <c r="C27" s="24" t="s">
        <v>169</v>
      </c>
      <c r="D27" s="25">
        <v>4.0999999999999996</v>
      </c>
      <c r="E27" s="25">
        <v>4.6999999999999993</v>
      </c>
      <c r="F27" s="25">
        <f t="shared" si="0"/>
        <v>0.59999999999999964</v>
      </c>
      <c r="G27" s="25">
        <f t="shared" si="1"/>
        <v>12.765957446808503</v>
      </c>
      <c r="H27" s="17"/>
      <c r="I27" s="17"/>
      <c r="J27" s="17"/>
      <c r="K27" s="17"/>
      <c r="L27" s="17"/>
      <c r="M27" s="17"/>
      <c r="N27" s="17"/>
      <c r="O27" s="17"/>
      <c r="P27" s="17"/>
      <c r="Q27" s="17"/>
      <c r="R27" s="17"/>
      <c r="S27" s="17"/>
      <c r="T27" s="17"/>
      <c r="U27" s="17"/>
      <c r="V27" s="17"/>
      <c r="W27" s="235"/>
      <c r="X27" s="235"/>
      <c r="Y27" s="235"/>
      <c r="Z27" s="235"/>
    </row>
    <row r="28" spans="1:26" ht="28.5" customHeight="1" x14ac:dyDescent="0.25">
      <c r="A28" s="24" t="s">
        <v>1562</v>
      </c>
      <c r="B28" s="24" t="s">
        <v>1563</v>
      </c>
      <c r="C28" s="24" t="s">
        <v>169</v>
      </c>
      <c r="D28" s="25">
        <v>22.6</v>
      </c>
      <c r="E28" s="25">
        <v>22</v>
      </c>
      <c r="F28" s="25">
        <f t="shared" si="0"/>
        <v>-0.60000000000000142</v>
      </c>
      <c r="G28" s="25">
        <f t="shared" si="1"/>
        <v>-2.7272727272727337</v>
      </c>
      <c r="H28" s="17"/>
      <c r="I28" s="17"/>
      <c r="J28" s="17"/>
      <c r="K28" s="17"/>
      <c r="L28" s="17"/>
      <c r="M28" s="17"/>
      <c r="N28" s="17"/>
      <c r="O28" s="17"/>
      <c r="P28" s="17"/>
      <c r="Q28" s="17"/>
      <c r="R28" s="17"/>
      <c r="S28" s="17"/>
      <c r="T28" s="17"/>
      <c r="U28" s="17"/>
      <c r="V28" s="17"/>
      <c r="W28" s="235"/>
      <c r="X28" s="235"/>
      <c r="Y28" s="235"/>
      <c r="Z28" s="235"/>
    </row>
    <row r="29" spans="1:26" ht="28.5" customHeight="1" x14ac:dyDescent="0.25">
      <c r="A29" s="30" t="s">
        <v>1564</v>
      </c>
      <c r="B29" s="30"/>
      <c r="C29" s="31" t="s">
        <v>169</v>
      </c>
      <c r="D29" s="22">
        <v>142.1</v>
      </c>
      <c r="E29" s="22">
        <v>114.5</v>
      </c>
      <c r="F29" s="22">
        <f t="shared" si="0"/>
        <v>-27.599999999999994</v>
      </c>
      <c r="G29" s="22">
        <f t="shared" si="1"/>
        <v>-24.104803493449779</v>
      </c>
      <c r="H29" s="17"/>
      <c r="I29" s="17"/>
      <c r="J29" s="17"/>
      <c r="K29" s="17"/>
      <c r="L29" s="17"/>
      <c r="M29" s="17"/>
      <c r="N29" s="17"/>
      <c r="O29" s="17"/>
      <c r="P29" s="17"/>
      <c r="Q29" s="17"/>
      <c r="R29" s="17"/>
      <c r="S29" s="17"/>
      <c r="T29" s="17"/>
      <c r="U29" s="17"/>
      <c r="V29" s="17"/>
      <c r="W29" s="235"/>
      <c r="X29" s="235"/>
      <c r="Y29" s="235"/>
      <c r="Z29" s="235"/>
    </row>
    <row r="30" spans="1:26" ht="28.5" customHeight="1" x14ac:dyDescent="0.25">
      <c r="A30" s="24" t="s">
        <v>1565</v>
      </c>
      <c r="B30" s="24" t="s">
        <v>1565</v>
      </c>
      <c r="C30" s="24" t="s">
        <v>43</v>
      </c>
      <c r="D30" s="25">
        <v>321.39999999999998</v>
      </c>
      <c r="E30" s="25">
        <v>289.70000000000005</v>
      </c>
      <c r="F30" s="25">
        <f t="shared" si="0"/>
        <v>-31.699999999999932</v>
      </c>
      <c r="G30" s="25">
        <f t="shared" si="1"/>
        <v>-10.942354159475293</v>
      </c>
      <c r="H30" s="17"/>
      <c r="I30" s="17"/>
      <c r="J30" s="17"/>
      <c r="K30" s="17"/>
      <c r="L30" s="17"/>
      <c r="M30" s="17"/>
      <c r="N30" s="17"/>
      <c r="O30" s="17"/>
      <c r="P30" s="17"/>
      <c r="Q30" s="17"/>
      <c r="R30" s="17"/>
      <c r="S30" s="17"/>
      <c r="T30" s="17"/>
      <c r="U30" s="17"/>
      <c r="V30" s="17"/>
      <c r="W30" s="235"/>
      <c r="X30" s="235"/>
      <c r="Y30" s="235"/>
      <c r="Z30" s="235"/>
    </row>
    <row r="31" spans="1:26" ht="28.5" customHeight="1" x14ac:dyDescent="0.25">
      <c r="A31" s="24" t="s">
        <v>1566</v>
      </c>
      <c r="B31" s="24" t="s">
        <v>1566</v>
      </c>
      <c r="C31" s="24" t="s">
        <v>43</v>
      </c>
      <c r="D31" s="25">
        <v>61.1</v>
      </c>
      <c r="E31" s="25">
        <v>60.7</v>
      </c>
      <c r="F31" s="25">
        <f t="shared" si="0"/>
        <v>-0.39999999999999858</v>
      </c>
      <c r="G31" s="25">
        <f t="shared" si="1"/>
        <v>-0.65897858319604374</v>
      </c>
      <c r="H31" s="17"/>
      <c r="I31" s="17"/>
      <c r="J31" s="17"/>
      <c r="K31" s="17"/>
      <c r="L31" s="17"/>
      <c r="M31" s="17"/>
      <c r="N31" s="17"/>
      <c r="O31" s="17"/>
      <c r="P31" s="17"/>
      <c r="Q31" s="17"/>
      <c r="R31" s="17"/>
      <c r="S31" s="17"/>
      <c r="T31" s="17"/>
      <c r="U31" s="17"/>
      <c r="V31" s="17"/>
      <c r="W31" s="235"/>
      <c r="X31" s="235"/>
      <c r="Y31" s="235"/>
      <c r="Z31" s="235"/>
    </row>
    <row r="32" spans="1:26" ht="28.5" customHeight="1" x14ac:dyDescent="0.25">
      <c r="A32" s="24" t="s">
        <v>177</v>
      </c>
      <c r="B32" s="236"/>
      <c r="C32" s="24" t="s">
        <v>43</v>
      </c>
      <c r="D32" s="25">
        <v>28.2</v>
      </c>
      <c r="E32" s="25">
        <v>27</v>
      </c>
      <c r="F32" s="25">
        <f t="shared" si="0"/>
        <v>-1.1999999999999993</v>
      </c>
      <c r="G32" s="25">
        <f t="shared" si="1"/>
        <v>-4.444444444444442</v>
      </c>
      <c r="H32" s="17"/>
      <c r="I32" s="17"/>
      <c r="J32" s="17"/>
      <c r="K32" s="17"/>
      <c r="L32" s="17"/>
      <c r="M32" s="17"/>
      <c r="N32" s="17"/>
      <c r="O32" s="17"/>
      <c r="P32" s="17"/>
      <c r="Q32" s="17"/>
      <c r="R32" s="17"/>
      <c r="S32" s="17"/>
      <c r="T32" s="17"/>
      <c r="U32" s="17"/>
      <c r="V32" s="17"/>
      <c r="W32" s="235"/>
      <c r="X32" s="235"/>
      <c r="Y32" s="235"/>
      <c r="Z32" s="235"/>
    </row>
    <row r="33" spans="1:26" ht="28.5" customHeight="1" x14ac:dyDescent="0.25">
      <c r="A33" s="30" t="s">
        <v>1567</v>
      </c>
      <c r="B33" s="30"/>
      <c r="C33" s="31" t="s">
        <v>43</v>
      </c>
      <c r="D33" s="22">
        <v>410.6</v>
      </c>
      <c r="E33" s="22">
        <v>377.6</v>
      </c>
      <c r="F33" s="22">
        <f t="shared" si="0"/>
        <v>-33</v>
      </c>
      <c r="G33" s="22">
        <f t="shared" si="1"/>
        <v>-8.7394067796610155</v>
      </c>
      <c r="H33" s="17"/>
      <c r="I33" s="17"/>
      <c r="J33" s="17"/>
      <c r="K33" s="17"/>
      <c r="L33" s="17"/>
      <c r="M33" s="17"/>
      <c r="N33" s="17"/>
      <c r="O33" s="17"/>
      <c r="P33" s="17"/>
      <c r="Q33" s="17"/>
      <c r="R33" s="17"/>
      <c r="S33" s="17"/>
      <c r="T33" s="17"/>
      <c r="U33" s="17"/>
      <c r="V33" s="17"/>
      <c r="W33" s="235"/>
      <c r="X33" s="235"/>
      <c r="Y33" s="235"/>
      <c r="Z33" s="235"/>
    </row>
    <row r="34" spans="1:26" ht="28.5" customHeight="1" x14ac:dyDescent="0.25">
      <c r="A34" s="24" t="s">
        <v>1568</v>
      </c>
      <c r="B34" s="24" t="s">
        <v>871</v>
      </c>
      <c r="C34" s="24" t="s">
        <v>49</v>
      </c>
      <c r="D34" s="25">
        <v>103.4</v>
      </c>
      <c r="E34" s="25">
        <v>118.3</v>
      </c>
      <c r="F34" s="25">
        <f t="shared" si="0"/>
        <v>14.899999999999991</v>
      </c>
      <c r="G34" s="25">
        <f t="shared" si="1"/>
        <v>12.595097210481818</v>
      </c>
      <c r="H34" s="17"/>
      <c r="I34" s="17"/>
      <c r="J34" s="17"/>
      <c r="K34" s="17"/>
      <c r="L34" s="17"/>
      <c r="M34" s="17"/>
      <c r="N34" s="17"/>
      <c r="O34" s="17"/>
      <c r="P34" s="17"/>
      <c r="Q34" s="17"/>
      <c r="R34" s="17"/>
      <c r="S34" s="17"/>
      <c r="T34" s="17"/>
      <c r="U34" s="17"/>
      <c r="V34" s="17"/>
      <c r="W34" s="235"/>
      <c r="X34" s="235"/>
      <c r="Y34" s="235"/>
      <c r="Z34" s="235"/>
    </row>
    <row r="35" spans="1:26" ht="28.5" customHeight="1" x14ac:dyDescent="0.25">
      <c r="A35" s="24" t="s">
        <v>268</v>
      </c>
      <c r="B35" s="24" t="s">
        <v>268</v>
      </c>
      <c r="C35" s="24" t="s">
        <v>49</v>
      </c>
      <c r="D35" s="25">
        <v>101.7</v>
      </c>
      <c r="E35" s="25">
        <v>108.1</v>
      </c>
      <c r="F35" s="25">
        <f t="shared" si="0"/>
        <v>6.3999999999999915</v>
      </c>
      <c r="G35" s="25">
        <f t="shared" si="1"/>
        <v>5.9204440333024904</v>
      </c>
      <c r="H35" s="17"/>
      <c r="I35" s="17"/>
      <c r="J35" s="17"/>
      <c r="K35" s="17"/>
      <c r="L35" s="17"/>
      <c r="M35" s="17"/>
      <c r="N35" s="17"/>
      <c r="O35" s="17"/>
      <c r="P35" s="17"/>
      <c r="Q35" s="17"/>
      <c r="R35" s="17"/>
      <c r="S35" s="17"/>
      <c r="T35" s="17"/>
      <c r="U35" s="17"/>
      <c r="V35" s="17"/>
      <c r="W35" s="235"/>
      <c r="X35" s="235"/>
      <c r="Y35" s="235"/>
      <c r="Z35" s="235"/>
    </row>
    <row r="36" spans="1:26" ht="28.5" customHeight="1" x14ac:dyDescent="0.25">
      <c r="A36" s="24" t="s">
        <v>1569</v>
      </c>
      <c r="B36" s="24" t="s">
        <v>1570</v>
      </c>
      <c r="C36" s="24" t="s">
        <v>49</v>
      </c>
      <c r="D36" s="25">
        <v>87.3</v>
      </c>
      <c r="E36" s="25">
        <v>73.8</v>
      </c>
      <c r="F36" s="25">
        <f t="shared" si="0"/>
        <v>-13.5</v>
      </c>
      <c r="G36" s="25">
        <f t="shared" si="1"/>
        <v>-18.292682926829269</v>
      </c>
      <c r="H36" s="17"/>
      <c r="I36" s="17"/>
      <c r="J36" s="17"/>
      <c r="K36" s="17"/>
      <c r="L36" s="17"/>
      <c r="M36" s="17"/>
      <c r="N36" s="17"/>
      <c r="O36" s="17"/>
      <c r="P36" s="17"/>
      <c r="Q36" s="17"/>
      <c r="R36" s="17"/>
      <c r="S36" s="17"/>
      <c r="T36" s="17"/>
      <c r="U36" s="17"/>
      <c r="V36" s="17"/>
      <c r="W36" s="235"/>
      <c r="X36" s="235"/>
      <c r="Y36" s="235"/>
      <c r="Z36" s="235"/>
    </row>
    <row r="37" spans="1:26" ht="28.5" customHeight="1" x14ac:dyDescent="0.25">
      <c r="A37" s="24" t="s">
        <v>1571</v>
      </c>
      <c r="B37" s="24" t="s">
        <v>1572</v>
      </c>
      <c r="C37" s="24" t="s">
        <v>49</v>
      </c>
      <c r="D37" s="25">
        <v>57.6</v>
      </c>
      <c r="E37" s="25">
        <v>50.3</v>
      </c>
      <c r="F37" s="25">
        <f t="shared" si="0"/>
        <v>-7.3000000000000043</v>
      </c>
      <c r="G37" s="25">
        <f t="shared" si="1"/>
        <v>-14.512922465208758</v>
      </c>
      <c r="H37" s="17"/>
      <c r="I37" s="17"/>
      <c r="J37" s="17"/>
      <c r="K37" s="17"/>
      <c r="L37" s="17"/>
      <c r="M37" s="17"/>
      <c r="N37" s="17"/>
      <c r="O37" s="17"/>
      <c r="P37" s="17"/>
      <c r="Q37" s="17"/>
      <c r="R37" s="17"/>
      <c r="S37" s="17"/>
      <c r="T37" s="17"/>
      <c r="U37" s="17"/>
      <c r="V37" s="17"/>
      <c r="W37" s="235"/>
      <c r="X37" s="235"/>
      <c r="Y37" s="235"/>
      <c r="Z37" s="235"/>
    </row>
    <row r="38" spans="1:26" ht="28.5" customHeight="1" x14ac:dyDescent="0.25">
      <c r="A38" s="11" t="s">
        <v>1573</v>
      </c>
      <c r="B38" s="24" t="s">
        <v>1574</v>
      </c>
      <c r="C38" s="24" t="s">
        <v>49</v>
      </c>
      <c r="D38" s="25">
        <v>35.200000000000003</v>
      </c>
      <c r="E38" s="25">
        <v>29.9</v>
      </c>
      <c r="F38" s="25">
        <f t="shared" si="0"/>
        <v>-5.3000000000000043</v>
      </c>
      <c r="G38" s="25">
        <f t="shared" si="1"/>
        <v>-17.725752508361222</v>
      </c>
      <c r="H38" s="17"/>
      <c r="I38" s="17"/>
      <c r="J38" s="17"/>
      <c r="K38" s="17"/>
      <c r="L38" s="17"/>
      <c r="M38" s="17"/>
      <c r="N38" s="17"/>
      <c r="O38" s="17"/>
      <c r="P38" s="17"/>
      <c r="Q38" s="17"/>
      <c r="R38" s="17"/>
      <c r="S38" s="17"/>
      <c r="T38" s="17"/>
      <c r="U38" s="17"/>
      <c r="V38" s="17"/>
      <c r="W38" s="235"/>
      <c r="X38" s="235"/>
      <c r="Y38" s="235"/>
      <c r="Z38" s="235"/>
    </row>
    <row r="39" spans="1:26" ht="28.5" customHeight="1" x14ac:dyDescent="0.25">
      <c r="A39" s="11" t="s">
        <v>1575</v>
      </c>
      <c r="B39" s="24" t="s">
        <v>1576</v>
      </c>
      <c r="C39" s="24" t="s">
        <v>49</v>
      </c>
      <c r="D39" s="25">
        <v>8.6</v>
      </c>
      <c r="E39" s="25">
        <v>6.6</v>
      </c>
      <c r="F39" s="25">
        <f t="shared" si="0"/>
        <v>-2</v>
      </c>
      <c r="G39" s="25">
        <f t="shared" si="1"/>
        <v>-30.303030303030305</v>
      </c>
      <c r="H39" s="17"/>
      <c r="I39" s="17"/>
      <c r="J39" s="17"/>
      <c r="K39" s="17"/>
      <c r="L39" s="17"/>
      <c r="M39" s="17"/>
      <c r="N39" s="17"/>
      <c r="O39" s="17"/>
      <c r="P39" s="17"/>
      <c r="Q39" s="17"/>
      <c r="R39" s="17"/>
      <c r="S39" s="17"/>
      <c r="T39" s="17"/>
      <c r="U39" s="17"/>
      <c r="V39" s="17"/>
      <c r="W39" s="235"/>
      <c r="X39" s="235"/>
      <c r="Y39" s="235"/>
      <c r="Z39" s="235"/>
    </row>
    <row r="40" spans="1:26" ht="28.5" customHeight="1" x14ac:dyDescent="0.25">
      <c r="A40" s="24" t="s">
        <v>144</v>
      </c>
      <c r="B40" s="24" t="s">
        <v>145</v>
      </c>
      <c r="C40" s="24" t="s">
        <v>49</v>
      </c>
      <c r="D40" s="25">
        <v>23.3</v>
      </c>
      <c r="E40" s="25">
        <v>21.9</v>
      </c>
      <c r="F40" s="25">
        <f t="shared" si="0"/>
        <v>-1.4000000000000021</v>
      </c>
      <c r="G40" s="25">
        <f t="shared" si="1"/>
        <v>-6.3926940639269514</v>
      </c>
      <c r="H40" s="17"/>
      <c r="I40" s="17"/>
      <c r="J40" s="17"/>
      <c r="K40" s="17"/>
      <c r="L40" s="17"/>
      <c r="M40" s="17"/>
      <c r="N40" s="17"/>
      <c r="O40" s="17"/>
      <c r="P40" s="17"/>
      <c r="Q40" s="17"/>
      <c r="R40" s="17"/>
      <c r="S40" s="17"/>
      <c r="T40" s="17"/>
      <c r="U40" s="17"/>
      <c r="V40" s="17"/>
      <c r="W40" s="235"/>
      <c r="X40" s="235"/>
      <c r="Y40" s="235"/>
      <c r="Z40" s="235"/>
    </row>
    <row r="41" spans="1:26" ht="28.5" customHeight="1" x14ac:dyDescent="0.25">
      <c r="A41" s="11" t="s">
        <v>177</v>
      </c>
      <c r="B41" s="236"/>
      <c r="C41" s="24" t="s">
        <v>49</v>
      </c>
      <c r="D41" s="25">
        <v>4.3</v>
      </c>
      <c r="E41" s="25">
        <v>1.7000000000000002</v>
      </c>
      <c r="F41" s="25">
        <f t="shared" si="0"/>
        <v>-2.5999999999999996</v>
      </c>
      <c r="G41" s="25">
        <f t="shared" si="1"/>
        <v>-152.9411764705882</v>
      </c>
      <c r="H41" s="17"/>
      <c r="I41" s="17"/>
      <c r="J41" s="17"/>
      <c r="K41" s="17"/>
      <c r="L41" s="17"/>
      <c r="M41" s="17"/>
      <c r="N41" s="17"/>
      <c r="O41" s="17"/>
      <c r="P41" s="17"/>
      <c r="Q41" s="17"/>
      <c r="R41" s="17"/>
      <c r="S41" s="17"/>
      <c r="T41" s="17"/>
      <c r="U41" s="17"/>
      <c r="V41" s="17"/>
      <c r="W41" s="235"/>
      <c r="X41" s="235"/>
      <c r="Y41" s="235"/>
      <c r="Z41" s="235"/>
    </row>
    <row r="42" spans="1:26" ht="28.5" customHeight="1" x14ac:dyDescent="0.25">
      <c r="A42" s="26" t="s">
        <v>49</v>
      </c>
      <c r="B42" s="30"/>
      <c r="C42" s="31" t="s">
        <v>49</v>
      </c>
      <c r="D42" s="22">
        <v>421.5</v>
      </c>
      <c r="E42" s="22">
        <v>410.80000000000007</v>
      </c>
      <c r="F42" s="22">
        <f t="shared" si="0"/>
        <v>-10.699999999999932</v>
      </c>
      <c r="G42" s="22">
        <f t="shared" si="1"/>
        <v>-2.6046738072054358</v>
      </c>
      <c r="H42" s="17"/>
      <c r="I42" s="17"/>
      <c r="J42" s="17"/>
      <c r="K42" s="17"/>
      <c r="L42" s="17"/>
      <c r="M42" s="17"/>
      <c r="N42" s="17"/>
      <c r="O42" s="17"/>
      <c r="P42" s="17"/>
      <c r="Q42" s="17"/>
      <c r="R42" s="17"/>
      <c r="S42" s="17"/>
      <c r="T42" s="17"/>
      <c r="U42" s="17"/>
      <c r="V42" s="17"/>
      <c r="W42" s="235"/>
      <c r="X42" s="235"/>
      <c r="Y42" s="235"/>
      <c r="Z42" s="235"/>
    </row>
    <row r="43" spans="1:26" ht="28.5" customHeight="1" x14ac:dyDescent="0.25">
      <c r="A43" s="11" t="s">
        <v>1493</v>
      </c>
      <c r="B43" s="24" t="s">
        <v>1577</v>
      </c>
      <c r="C43" s="24" t="s">
        <v>62</v>
      </c>
      <c r="D43" s="25">
        <v>269.7</v>
      </c>
      <c r="E43" s="25">
        <v>256.2</v>
      </c>
      <c r="F43" s="25">
        <f t="shared" si="0"/>
        <v>-13.5</v>
      </c>
      <c r="G43" s="25">
        <f t="shared" si="1"/>
        <v>-5.269320843091335</v>
      </c>
      <c r="H43" s="17"/>
      <c r="I43" s="17"/>
      <c r="J43" s="17"/>
      <c r="K43" s="17"/>
      <c r="L43" s="17"/>
      <c r="M43" s="17"/>
      <c r="N43" s="17"/>
      <c r="O43" s="17"/>
      <c r="P43" s="17"/>
      <c r="Q43" s="17"/>
      <c r="R43" s="17"/>
      <c r="S43" s="17"/>
      <c r="T43" s="17"/>
      <c r="U43" s="17"/>
      <c r="V43" s="17"/>
      <c r="W43" s="235"/>
      <c r="X43" s="235"/>
      <c r="Y43" s="235"/>
      <c r="Z43" s="235"/>
    </row>
    <row r="44" spans="1:26" ht="28.5" customHeight="1" x14ac:dyDescent="0.25">
      <c r="A44" s="24" t="s">
        <v>1578</v>
      </c>
      <c r="B44" s="24" t="s">
        <v>942</v>
      </c>
      <c r="C44" s="24" t="s">
        <v>62</v>
      </c>
      <c r="D44" s="25">
        <v>69.099999999999994</v>
      </c>
      <c r="E44" s="25">
        <v>67.2</v>
      </c>
      <c r="F44" s="25">
        <f t="shared" si="0"/>
        <v>-1.8999999999999915</v>
      </c>
      <c r="G44" s="25">
        <f t="shared" si="1"/>
        <v>-2.8273809523809397</v>
      </c>
      <c r="H44" s="17"/>
      <c r="I44" s="17"/>
      <c r="J44" s="17"/>
      <c r="K44" s="17"/>
      <c r="L44" s="17"/>
      <c r="M44" s="17"/>
      <c r="N44" s="17"/>
      <c r="O44" s="17"/>
      <c r="P44" s="17"/>
      <c r="Q44" s="17"/>
      <c r="R44" s="17"/>
      <c r="S44" s="17"/>
      <c r="T44" s="17"/>
      <c r="U44" s="17"/>
      <c r="V44" s="17"/>
      <c r="W44" s="235"/>
      <c r="X44" s="235"/>
      <c r="Y44" s="235"/>
      <c r="Z44" s="235"/>
    </row>
    <row r="45" spans="1:26" ht="28.5" customHeight="1" x14ac:dyDescent="0.25">
      <c r="A45" s="11" t="s">
        <v>1579</v>
      </c>
      <c r="B45" s="24" t="s">
        <v>1580</v>
      </c>
      <c r="C45" s="24" t="s">
        <v>62</v>
      </c>
      <c r="D45" s="25">
        <v>22.7</v>
      </c>
      <c r="E45" s="25">
        <v>20.399999999999999</v>
      </c>
      <c r="F45" s="25">
        <f t="shared" si="0"/>
        <v>-2.3000000000000007</v>
      </c>
      <c r="G45" s="25">
        <f t="shared" si="1"/>
        <v>-11.274509803921573</v>
      </c>
      <c r="H45" s="17"/>
      <c r="I45" s="17"/>
      <c r="J45" s="17"/>
      <c r="K45" s="17"/>
      <c r="L45" s="17"/>
      <c r="M45" s="17"/>
      <c r="N45" s="17"/>
      <c r="O45" s="17"/>
      <c r="P45" s="17"/>
      <c r="Q45" s="17"/>
      <c r="R45" s="17"/>
      <c r="S45" s="17"/>
      <c r="T45" s="17"/>
      <c r="U45" s="17"/>
      <c r="V45" s="17"/>
      <c r="W45" s="235"/>
      <c r="X45" s="235"/>
      <c r="Y45" s="235"/>
      <c r="Z45" s="235"/>
    </row>
    <row r="46" spans="1:26" ht="28.5" customHeight="1" x14ac:dyDescent="0.25">
      <c r="A46" s="24" t="s">
        <v>1581</v>
      </c>
      <c r="B46" s="24" t="s">
        <v>1582</v>
      </c>
      <c r="C46" s="24" t="s">
        <v>62</v>
      </c>
      <c r="D46" s="25">
        <v>12.2</v>
      </c>
      <c r="E46" s="25">
        <v>16</v>
      </c>
      <c r="F46" s="25">
        <f t="shared" si="0"/>
        <v>3.8000000000000007</v>
      </c>
      <c r="G46" s="25">
        <f t="shared" si="1"/>
        <v>23.750000000000004</v>
      </c>
      <c r="H46" s="17"/>
      <c r="I46" s="17"/>
      <c r="J46" s="17"/>
      <c r="K46" s="17"/>
      <c r="L46" s="17"/>
      <c r="M46" s="17"/>
      <c r="N46" s="17"/>
      <c r="O46" s="17"/>
      <c r="P46" s="17"/>
      <c r="Q46" s="17"/>
      <c r="R46" s="17"/>
      <c r="S46" s="17"/>
      <c r="T46" s="17"/>
      <c r="U46" s="17"/>
      <c r="V46" s="17"/>
      <c r="W46" s="235"/>
      <c r="X46" s="235"/>
      <c r="Y46" s="235"/>
      <c r="Z46" s="235"/>
    </row>
    <row r="47" spans="1:26" ht="28.5" customHeight="1" x14ac:dyDescent="0.25">
      <c r="A47" s="24" t="s">
        <v>1583</v>
      </c>
      <c r="B47" s="24" t="s">
        <v>1584</v>
      </c>
      <c r="C47" s="24" t="s">
        <v>62</v>
      </c>
      <c r="D47" s="25">
        <v>10</v>
      </c>
      <c r="E47" s="25">
        <v>17.600000000000001</v>
      </c>
      <c r="F47" s="25">
        <f t="shared" si="0"/>
        <v>7.6000000000000014</v>
      </c>
      <c r="G47" s="25">
        <f t="shared" si="1"/>
        <v>43.181818181818187</v>
      </c>
      <c r="H47" s="17"/>
      <c r="I47" s="17"/>
      <c r="J47" s="17"/>
      <c r="K47" s="17"/>
      <c r="L47" s="17"/>
      <c r="M47" s="17"/>
      <c r="N47" s="17"/>
      <c r="O47" s="17"/>
      <c r="P47" s="17"/>
      <c r="Q47" s="17"/>
      <c r="R47" s="17"/>
      <c r="S47" s="17"/>
      <c r="T47" s="17"/>
      <c r="U47" s="17"/>
      <c r="V47" s="17"/>
      <c r="W47" s="235"/>
      <c r="X47" s="235"/>
      <c r="Y47" s="235"/>
      <c r="Z47" s="235"/>
    </row>
    <row r="48" spans="1:26" ht="28.5" customHeight="1" x14ac:dyDescent="0.25">
      <c r="A48" s="11" t="s">
        <v>1491</v>
      </c>
      <c r="B48" s="24" t="s">
        <v>1492</v>
      </c>
      <c r="C48" s="24" t="s">
        <v>62</v>
      </c>
      <c r="D48" s="25">
        <v>18.5</v>
      </c>
      <c r="E48" s="25">
        <v>12.299999999999999</v>
      </c>
      <c r="F48" s="25">
        <f t="shared" si="0"/>
        <v>-6.2000000000000011</v>
      </c>
      <c r="G48" s="25">
        <f t="shared" si="1"/>
        <v>-50.406504065040657</v>
      </c>
      <c r="H48" s="17"/>
      <c r="I48" s="17"/>
      <c r="J48" s="17"/>
      <c r="K48" s="17"/>
      <c r="L48" s="17"/>
      <c r="M48" s="17"/>
      <c r="N48" s="17"/>
      <c r="O48" s="17"/>
      <c r="P48" s="17"/>
      <c r="Q48" s="17"/>
      <c r="R48" s="17"/>
      <c r="S48" s="17"/>
      <c r="T48" s="17"/>
      <c r="U48" s="17"/>
      <c r="V48" s="17"/>
      <c r="W48" s="235"/>
      <c r="X48" s="235"/>
      <c r="Y48" s="235"/>
      <c r="Z48" s="235"/>
    </row>
    <row r="49" spans="1:26" ht="28.5" customHeight="1" x14ac:dyDescent="0.25">
      <c r="A49" s="11" t="s">
        <v>177</v>
      </c>
      <c r="B49" s="236"/>
      <c r="C49" s="24" t="s">
        <v>62</v>
      </c>
      <c r="D49" s="25">
        <v>21</v>
      </c>
      <c r="E49" s="25">
        <v>21.8</v>
      </c>
      <c r="F49" s="25">
        <f t="shared" si="0"/>
        <v>0.80000000000000071</v>
      </c>
      <c r="G49" s="25">
        <f t="shared" si="1"/>
        <v>3.6697247706422047</v>
      </c>
      <c r="H49" s="17"/>
      <c r="I49" s="17"/>
      <c r="J49" s="17"/>
      <c r="K49" s="17"/>
      <c r="L49" s="17"/>
      <c r="M49" s="17"/>
      <c r="N49" s="17"/>
      <c r="O49" s="17"/>
      <c r="P49" s="17"/>
      <c r="Q49" s="17"/>
      <c r="R49" s="17"/>
      <c r="S49" s="17"/>
      <c r="T49" s="17"/>
      <c r="U49" s="17"/>
      <c r="V49" s="17"/>
      <c r="W49" s="235"/>
      <c r="X49" s="235"/>
      <c r="Y49" s="235"/>
      <c r="Z49" s="235"/>
    </row>
    <row r="50" spans="1:26" ht="28.5" customHeight="1" x14ac:dyDescent="0.25">
      <c r="A50" s="26" t="s">
        <v>69</v>
      </c>
      <c r="B50" s="30"/>
      <c r="C50" s="31" t="s">
        <v>62</v>
      </c>
      <c r="D50" s="22">
        <v>423.1</v>
      </c>
      <c r="E50" s="22">
        <v>411.59999999999997</v>
      </c>
      <c r="F50" s="22">
        <f t="shared" si="0"/>
        <v>-11.500000000000057</v>
      </c>
      <c r="G50" s="22">
        <f t="shared" si="1"/>
        <v>-2.7939747327502573</v>
      </c>
      <c r="H50" s="17"/>
      <c r="I50" s="237"/>
      <c r="J50" s="17"/>
      <c r="K50" s="17"/>
      <c r="L50" s="17"/>
      <c r="M50" s="17"/>
      <c r="N50" s="17"/>
      <c r="O50" s="17"/>
      <c r="P50" s="17"/>
      <c r="Q50" s="17"/>
      <c r="R50" s="17"/>
      <c r="S50" s="17"/>
      <c r="T50" s="17"/>
      <c r="U50" s="17"/>
      <c r="V50" s="17"/>
      <c r="W50" s="235"/>
      <c r="X50" s="235"/>
      <c r="Y50" s="235"/>
      <c r="Z50" s="235"/>
    </row>
    <row r="51" spans="1:26" ht="28.5" customHeight="1" x14ac:dyDescent="0.25">
      <c r="A51" s="24" t="s">
        <v>1585</v>
      </c>
      <c r="B51" s="24" t="s">
        <v>1586</v>
      </c>
      <c r="C51" s="24" t="s">
        <v>129</v>
      </c>
      <c r="D51" s="25">
        <v>80.5</v>
      </c>
      <c r="E51" s="25">
        <v>74.099999999999994</v>
      </c>
      <c r="F51" s="25">
        <f t="shared" si="0"/>
        <v>-6.4000000000000057</v>
      </c>
      <c r="G51" s="25">
        <f t="shared" si="1"/>
        <v>-8.6369770580296983</v>
      </c>
      <c r="H51" s="17"/>
      <c r="I51" s="17"/>
      <c r="J51" s="17"/>
      <c r="K51" s="17"/>
      <c r="L51" s="17"/>
      <c r="M51" s="17"/>
      <c r="N51" s="17"/>
      <c r="O51" s="17"/>
      <c r="P51" s="17"/>
      <c r="Q51" s="17"/>
      <c r="R51" s="17"/>
      <c r="S51" s="17"/>
      <c r="T51" s="17"/>
      <c r="U51" s="17"/>
      <c r="V51" s="17"/>
      <c r="W51" s="235"/>
      <c r="X51" s="235"/>
      <c r="Y51" s="235"/>
      <c r="Z51" s="235"/>
    </row>
    <row r="52" spans="1:26" ht="28.5" customHeight="1" x14ac:dyDescent="0.25">
      <c r="A52" s="24" t="s">
        <v>1587</v>
      </c>
      <c r="B52" s="24" t="s">
        <v>1588</v>
      </c>
      <c r="C52" s="24" t="s">
        <v>201</v>
      </c>
      <c r="D52" s="25">
        <v>58.5</v>
      </c>
      <c r="E52" s="25">
        <v>56.4</v>
      </c>
      <c r="F52" s="25">
        <f t="shared" si="0"/>
        <v>-2.1000000000000014</v>
      </c>
      <c r="G52" s="25">
        <f t="shared" si="1"/>
        <v>-3.7234042553191515</v>
      </c>
      <c r="H52" s="17"/>
      <c r="I52" s="17"/>
      <c r="J52" s="17"/>
      <c r="K52" s="17"/>
      <c r="L52" s="17"/>
      <c r="M52" s="17"/>
      <c r="N52" s="17"/>
      <c r="O52" s="17"/>
      <c r="P52" s="17"/>
      <c r="Q52" s="17"/>
      <c r="R52" s="17"/>
      <c r="S52" s="17"/>
      <c r="T52" s="17"/>
      <c r="U52" s="17"/>
      <c r="V52" s="17"/>
      <c r="W52" s="235"/>
      <c r="X52" s="235"/>
      <c r="Y52" s="235"/>
      <c r="Z52" s="235"/>
    </row>
    <row r="53" spans="1:26" ht="28.5" customHeight="1" x14ac:dyDescent="0.25">
      <c r="A53" s="24" t="s">
        <v>1589</v>
      </c>
      <c r="B53" s="24" t="s">
        <v>298</v>
      </c>
      <c r="C53" s="24" t="s">
        <v>43</v>
      </c>
      <c r="D53" s="25">
        <v>3.4</v>
      </c>
      <c r="E53" s="25">
        <v>25.999999999999996</v>
      </c>
      <c r="F53" s="25">
        <f t="shared" si="0"/>
        <v>22.599999999999998</v>
      </c>
      <c r="G53" s="25">
        <f t="shared" si="1"/>
        <v>86.92307692307692</v>
      </c>
      <c r="H53" s="17"/>
      <c r="I53" s="17"/>
      <c r="J53" s="17"/>
      <c r="K53" s="17"/>
      <c r="L53" s="17"/>
      <c r="M53" s="17"/>
      <c r="N53" s="17"/>
      <c r="O53" s="17"/>
      <c r="P53" s="17"/>
      <c r="Q53" s="17"/>
      <c r="R53" s="17"/>
      <c r="S53" s="17"/>
      <c r="T53" s="17"/>
      <c r="U53" s="17"/>
      <c r="V53" s="17"/>
      <c r="W53" s="235"/>
      <c r="X53" s="235"/>
      <c r="Y53" s="235"/>
      <c r="Z53" s="235"/>
    </row>
    <row r="54" spans="1:26" ht="28.5" customHeight="1" x14ac:dyDescent="0.25">
      <c r="A54" s="24" t="s">
        <v>1590</v>
      </c>
      <c r="B54" s="24" t="s">
        <v>1591</v>
      </c>
      <c r="C54" s="24" t="s">
        <v>89</v>
      </c>
      <c r="D54" s="25">
        <v>6.8</v>
      </c>
      <c r="E54" s="25">
        <v>26.200000000000003</v>
      </c>
      <c r="F54" s="25">
        <f t="shared" si="0"/>
        <v>19.400000000000002</v>
      </c>
      <c r="G54" s="25">
        <f t="shared" si="1"/>
        <v>74.045801526717554</v>
      </c>
      <c r="H54" s="17"/>
      <c r="I54" s="17"/>
      <c r="J54" s="17"/>
      <c r="K54" s="17"/>
      <c r="L54" s="17"/>
      <c r="M54" s="17"/>
      <c r="N54" s="17"/>
      <c r="O54" s="17"/>
      <c r="P54" s="17"/>
      <c r="Q54" s="17"/>
      <c r="R54" s="17"/>
      <c r="S54" s="17"/>
      <c r="T54" s="17"/>
      <c r="U54" s="17"/>
      <c r="V54" s="17"/>
      <c r="W54" s="235"/>
      <c r="X54" s="235"/>
      <c r="Y54" s="235"/>
      <c r="Z54" s="235"/>
    </row>
    <row r="55" spans="1:26" ht="28.5" customHeight="1" x14ac:dyDescent="0.25">
      <c r="A55" s="24" t="s">
        <v>1592</v>
      </c>
      <c r="B55" s="24" t="s">
        <v>1593</v>
      </c>
      <c r="C55" s="24" t="s">
        <v>129</v>
      </c>
      <c r="D55" s="25">
        <v>31.5</v>
      </c>
      <c r="E55" s="25">
        <v>31.400000000000002</v>
      </c>
      <c r="F55" s="238">
        <f t="shared" si="0"/>
        <v>-9.9999999999997868E-2</v>
      </c>
      <c r="G55" s="238">
        <f t="shared" si="1"/>
        <v>-0.31847133757961105</v>
      </c>
      <c r="H55" s="17"/>
      <c r="I55" s="17"/>
      <c r="J55" s="17"/>
      <c r="K55" s="17"/>
      <c r="L55" s="17"/>
      <c r="M55" s="17"/>
      <c r="N55" s="17"/>
      <c r="O55" s="17"/>
      <c r="P55" s="17"/>
      <c r="Q55" s="17"/>
      <c r="R55" s="17"/>
      <c r="S55" s="17"/>
      <c r="T55" s="17"/>
      <c r="U55" s="17"/>
      <c r="V55" s="17"/>
      <c r="W55" s="235"/>
      <c r="X55" s="235"/>
      <c r="Y55" s="235"/>
      <c r="Z55" s="235"/>
    </row>
    <row r="56" spans="1:26" ht="28.5" customHeight="1" x14ac:dyDescent="0.25">
      <c r="A56" s="11" t="s">
        <v>177</v>
      </c>
      <c r="B56" s="24"/>
      <c r="C56" s="24"/>
      <c r="D56" s="88">
        <v>413</v>
      </c>
      <c r="E56" s="88">
        <v>528</v>
      </c>
      <c r="F56" s="25">
        <f t="shared" si="0"/>
        <v>115</v>
      </c>
      <c r="G56" s="25">
        <f t="shared" si="1"/>
        <v>21.780303030303031</v>
      </c>
      <c r="H56" s="17"/>
      <c r="I56" s="17"/>
      <c r="J56" s="17"/>
      <c r="K56" s="17"/>
      <c r="L56" s="17"/>
      <c r="M56" s="17"/>
      <c r="N56" s="17"/>
      <c r="O56" s="17"/>
      <c r="P56" s="17"/>
      <c r="Q56" s="17"/>
      <c r="R56" s="17"/>
      <c r="S56" s="17"/>
      <c r="T56" s="17"/>
      <c r="U56" s="17"/>
      <c r="V56" s="17"/>
      <c r="W56" s="235"/>
      <c r="X56" s="235"/>
      <c r="Y56" s="235"/>
      <c r="Z56" s="235"/>
    </row>
    <row r="57" spans="1:26" ht="28.5" customHeight="1" x14ac:dyDescent="0.25">
      <c r="A57" s="30" t="s">
        <v>101</v>
      </c>
      <c r="B57" s="30"/>
      <c r="C57" s="30"/>
      <c r="D57" s="22">
        <v>3199.3</v>
      </c>
      <c r="E57" s="22">
        <v>3236.6</v>
      </c>
      <c r="F57" s="22">
        <f t="shared" si="0"/>
        <v>37.299999999999727</v>
      </c>
      <c r="G57" s="22">
        <f t="shared" si="1"/>
        <v>1.1524439226348553</v>
      </c>
      <c r="H57" s="17"/>
      <c r="I57" s="17"/>
      <c r="J57" s="17"/>
      <c r="K57" s="17"/>
      <c r="L57" s="17"/>
      <c r="M57" s="17"/>
      <c r="N57" s="17"/>
      <c r="O57" s="17"/>
      <c r="P57" s="17"/>
      <c r="Q57" s="17"/>
      <c r="R57" s="17"/>
      <c r="S57" s="17"/>
      <c r="T57" s="17"/>
      <c r="U57" s="17"/>
      <c r="V57" s="17"/>
      <c r="W57" s="235"/>
      <c r="X57" s="235"/>
      <c r="Y57" s="235"/>
      <c r="Z57" s="235"/>
    </row>
  </sheetData>
  <pageMargins left="0.7" right="0.7" top="0.75" bottom="0.75" header="0" footer="0"/>
  <pageSetup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2A5DB0"/>
  </sheetPr>
  <dimension ref="A1:Z12"/>
  <sheetViews>
    <sheetView workbookViewId="0">
      <pane ySplit="1" topLeftCell="A2" activePane="bottomLeft" state="frozen"/>
      <selection pane="bottomLeft"/>
    </sheetView>
  </sheetViews>
  <sheetFormatPr defaultColWidth="14.44140625" defaultRowHeight="15.75" customHeight="1" x14ac:dyDescent="0.25"/>
  <cols>
    <col min="1" max="1" width="25.5546875" customWidth="1"/>
    <col min="2" max="2" width="20.5546875" customWidth="1"/>
    <col min="3" max="3" width="19.33203125" customWidth="1"/>
    <col min="4" max="11" width="14.33203125" customWidth="1"/>
    <col min="12" max="12" width="13.109375" customWidth="1"/>
    <col min="13" max="13" width="11.33203125" customWidth="1"/>
    <col min="14" max="26" width="15.6640625" customWidth="1"/>
  </cols>
  <sheetData>
    <row r="1" spans="1:26" ht="34.5" customHeight="1" x14ac:dyDescent="0.25">
      <c r="A1" s="46" t="s">
        <v>1808</v>
      </c>
      <c r="B1" s="47" t="s">
        <v>10</v>
      </c>
      <c r="C1" s="47" t="s">
        <v>11</v>
      </c>
      <c r="D1" s="47" t="s">
        <v>1678</v>
      </c>
      <c r="E1" s="47" t="s">
        <v>1696</v>
      </c>
      <c r="F1" s="47" t="s">
        <v>1809</v>
      </c>
      <c r="G1" s="9" t="s">
        <v>1680</v>
      </c>
      <c r="H1" s="47" t="s">
        <v>1678</v>
      </c>
      <c r="I1" s="47" t="s">
        <v>1696</v>
      </c>
      <c r="J1" s="47" t="s">
        <v>1809</v>
      </c>
      <c r="K1" s="48" t="s">
        <v>1681</v>
      </c>
      <c r="L1" s="47" t="s">
        <v>1682</v>
      </c>
      <c r="M1" s="48" t="s">
        <v>1683</v>
      </c>
      <c r="N1" s="239"/>
      <c r="O1" s="239"/>
      <c r="P1" s="239"/>
      <c r="Q1" s="239"/>
      <c r="R1" s="239"/>
      <c r="S1" s="239"/>
      <c r="T1" s="239"/>
      <c r="U1" s="239"/>
      <c r="V1" s="239"/>
      <c r="W1" s="239"/>
      <c r="X1" s="239"/>
      <c r="Y1" s="239"/>
      <c r="Z1" s="239"/>
    </row>
    <row r="2" spans="1:26" ht="28.5" customHeight="1" x14ac:dyDescent="0.25">
      <c r="A2" s="11" t="s">
        <v>1810</v>
      </c>
      <c r="B2" s="11"/>
      <c r="C2" s="11"/>
      <c r="D2" s="51">
        <v>4010</v>
      </c>
      <c r="E2" s="51">
        <v>3513</v>
      </c>
      <c r="F2" s="51">
        <v>1792</v>
      </c>
      <c r="G2" s="51">
        <v>9315</v>
      </c>
      <c r="H2" s="51">
        <v>3963</v>
      </c>
      <c r="I2" s="51">
        <v>3470</v>
      </c>
      <c r="J2" s="51">
        <v>1893</v>
      </c>
      <c r="K2" s="50">
        <f t="shared" ref="K2:K11" si="0">H2+I2+J2</f>
        <v>9326</v>
      </c>
      <c r="L2" s="51">
        <f t="shared" ref="L2:L12" si="1">(G2-K2)</f>
        <v>-11</v>
      </c>
      <c r="M2" s="51">
        <f t="shared" ref="M2:M12" si="2">(L2/G2)*100</f>
        <v>-0.11808910359634997</v>
      </c>
      <c r="N2" s="90"/>
      <c r="O2" s="90"/>
      <c r="P2" s="90"/>
      <c r="Q2" s="90"/>
      <c r="R2" s="89"/>
      <c r="S2" s="89"/>
      <c r="T2" s="89"/>
      <c r="U2" s="89"/>
      <c r="V2" s="89"/>
      <c r="W2" s="89"/>
      <c r="X2" s="89"/>
      <c r="Y2" s="89"/>
      <c r="Z2" s="89"/>
    </row>
    <row r="3" spans="1:26" ht="28.5" customHeight="1" x14ac:dyDescent="0.25">
      <c r="A3" s="11" t="s">
        <v>1595</v>
      </c>
      <c r="B3" s="11" t="s">
        <v>1596</v>
      </c>
      <c r="C3" s="11" t="s">
        <v>62</v>
      </c>
      <c r="D3" s="51">
        <v>134</v>
      </c>
      <c r="E3" s="51">
        <v>31</v>
      </c>
      <c r="F3" s="51">
        <v>0</v>
      </c>
      <c r="G3" s="51">
        <v>165</v>
      </c>
      <c r="H3" s="51">
        <v>93</v>
      </c>
      <c r="I3" s="51">
        <v>3</v>
      </c>
      <c r="J3" s="51">
        <v>0</v>
      </c>
      <c r="K3" s="50">
        <f t="shared" si="0"/>
        <v>96</v>
      </c>
      <c r="L3" s="51">
        <f t="shared" si="1"/>
        <v>69</v>
      </c>
      <c r="M3" s="51">
        <f t="shared" si="2"/>
        <v>41.818181818181813</v>
      </c>
      <c r="N3" s="90"/>
      <c r="O3" s="90"/>
      <c r="P3" s="89"/>
      <c r="Q3" s="89"/>
      <c r="R3" s="89"/>
      <c r="S3" s="89"/>
      <c r="T3" s="89"/>
      <c r="U3" s="89"/>
      <c r="V3" s="89"/>
      <c r="W3" s="89"/>
      <c r="X3" s="89"/>
      <c r="Y3" s="89"/>
      <c r="Z3" s="89"/>
    </row>
    <row r="4" spans="1:26" ht="28.5" customHeight="1" x14ac:dyDescent="0.25">
      <c r="A4" s="11" t="s">
        <v>1597</v>
      </c>
      <c r="B4" s="11" t="s">
        <v>1598</v>
      </c>
      <c r="C4" s="11" t="s">
        <v>62</v>
      </c>
      <c r="D4" s="51">
        <v>637</v>
      </c>
      <c r="E4" s="51">
        <v>0</v>
      </c>
      <c r="F4" s="51">
        <v>0</v>
      </c>
      <c r="G4" s="51">
        <v>637</v>
      </c>
      <c r="H4" s="51">
        <v>412</v>
      </c>
      <c r="I4" s="51">
        <v>0</v>
      </c>
      <c r="J4" s="51">
        <v>0</v>
      </c>
      <c r="K4" s="50">
        <f t="shared" si="0"/>
        <v>412</v>
      </c>
      <c r="L4" s="51">
        <f t="shared" si="1"/>
        <v>225</v>
      </c>
      <c r="M4" s="51">
        <f t="shared" si="2"/>
        <v>35.321821036106748</v>
      </c>
      <c r="N4" s="90"/>
      <c r="O4" s="90"/>
      <c r="P4" s="89"/>
      <c r="Q4" s="89"/>
      <c r="R4" s="89"/>
      <c r="S4" s="89"/>
      <c r="T4" s="89"/>
      <c r="U4" s="89"/>
      <c r="V4" s="89"/>
      <c r="W4" s="89"/>
      <c r="X4" s="89"/>
      <c r="Y4" s="89"/>
      <c r="Z4" s="89"/>
    </row>
    <row r="5" spans="1:26" ht="28.5" customHeight="1" x14ac:dyDescent="0.25">
      <c r="A5" s="11" t="s">
        <v>1599</v>
      </c>
      <c r="B5" s="11" t="s">
        <v>1600</v>
      </c>
      <c r="C5" s="11" t="s">
        <v>49</v>
      </c>
      <c r="D5" s="51">
        <v>415</v>
      </c>
      <c r="E5" s="51">
        <v>0</v>
      </c>
      <c r="F5" s="51">
        <v>0</v>
      </c>
      <c r="G5" s="51">
        <v>415</v>
      </c>
      <c r="H5" s="51">
        <v>496</v>
      </c>
      <c r="I5" s="51">
        <v>0</v>
      </c>
      <c r="J5" s="51">
        <v>0</v>
      </c>
      <c r="K5" s="50">
        <f t="shared" si="0"/>
        <v>496</v>
      </c>
      <c r="L5" s="51">
        <f t="shared" si="1"/>
        <v>-81</v>
      </c>
      <c r="M5" s="51">
        <f t="shared" si="2"/>
        <v>-19.518072289156628</v>
      </c>
      <c r="N5" s="90"/>
      <c r="O5" s="90"/>
      <c r="P5" s="89"/>
      <c r="Q5" s="89"/>
      <c r="R5" s="89"/>
      <c r="S5" s="89"/>
      <c r="T5" s="89"/>
      <c r="U5" s="89"/>
      <c r="V5" s="89"/>
      <c r="W5" s="89"/>
      <c r="X5" s="89"/>
      <c r="Y5" s="89"/>
      <c r="Z5" s="89"/>
    </row>
    <row r="6" spans="1:26" ht="28.5" customHeight="1" x14ac:dyDescent="0.25">
      <c r="A6" s="11" t="s">
        <v>1601</v>
      </c>
      <c r="B6" s="11" t="s">
        <v>1602</v>
      </c>
      <c r="C6" s="11" t="s">
        <v>62</v>
      </c>
      <c r="D6" s="51">
        <v>884</v>
      </c>
      <c r="E6" s="51">
        <v>400</v>
      </c>
      <c r="F6" s="51">
        <v>53</v>
      </c>
      <c r="G6" s="51">
        <v>1337</v>
      </c>
      <c r="H6" s="51">
        <v>1017</v>
      </c>
      <c r="I6" s="51">
        <v>432</v>
      </c>
      <c r="J6" s="51">
        <v>63</v>
      </c>
      <c r="K6" s="50">
        <f t="shared" si="0"/>
        <v>1512</v>
      </c>
      <c r="L6" s="51">
        <f t="shared" si="1"/>
        <v>-175</v>
      </c>
      <c r="M6" s="51">
        <f t="shared" si="2"/>
        <v>-13.089005235602095</v>
      </c>
      <c r="N6" s="90"/>
      <c r="O6" s="90"/>
      <c r="P6" s="89"/>
      <c r="Q6" s="90"/>
      <c r="R6" s="89"/>
      <c r="S6" s="89"/>
      <c r="T6" s="89"/>
      <c r="U6" s="89"/>
      <c r="V6" s="89"/>
      <c r="W6" s="89"/>
      <c r="X6" s="89"/>
      <c r="Y6" s="89"/>
      <c r="Z6" s="89"/>
    </row>
    <row r="7" spans="1:26" ht="28.5" customHeight="1" x14ac:dyDescent="0.25">
      <c r="A7" s="11" t="s">
        <v>1603</v>
      </c>
      <c r="B7" s="11" t="s">
        <v>1604</v>
      </c>
      <c r="C7" s="11" t="s">
        <v>221</v>
      </c>
      <c r="D7" s="51">
        <v>241</v>
      </c>
      <c r="E7" s="51">
        <v>0</v>
      </c>
      <c r="F7" s="51">
        <v>0</v>
      </c>
      <c r="G7" s="51">
        <v>241</v>
      </c>
      <c r="H7" s="51">
        <v>274</v>
      </c>
      <c r="I7" s="51">
        <v>0</v>
      </c>
      <c r="J7" s="51">
        <v>0</v>
      </c>
      <c r="K7" s="50">
        <f t="shared" si="0"/>
        <v>274</v>
      </c>
      <c r="L7" s="51">
        <f t="shared" si="1"/>
        <v>-33</v>
      </c>
      <c r="M7" s="51">
        <f t="shared" si="2"/>
        <v>-13.692946058091287</v>
      </c>
      <c r="N7" s="90"/>
      <c r="O7" s="90"/>
      <c r="P7" s="89"/>
      <c r="Q7" s="89"/>
      <c r="R7" s="89"/>
      <c r="S7" s="89"/>
      <c r="T7" s="89"/>
      <c r="U7" s="89"/>
      <c r="V7" s="89"/>
      <c r="W7" s="89"/>
      <c r="X7" s="89"/>
      <c r="Y7" s="89"/>
      <c r="Z7" s="89"/>
    </row>
    <row r="8" spans="1:26" ht="28.5" customHeight="1" x14ac:dyDescent="0.25">
      <c r="A8" s="11" t="s">
        <v>1605</v>
      </c>
      <c r="B8" s="11" t="s">
        <v>1606</v>
      </c>
      <c r="C8" s="11" t="s">
        <v>221</v>
      </c>
      <c r="D8" s="51">
        <v>179</v>
      </c>
      <c r="E8" s="51">
        <v>0</v>
      </c>
      <c r="F8" s="51">
        <v>0</v>
      </c>
      <c r="G8" s="51">
        <v>179</v>
      </c>
      <c r="H8" s="51">
        <v>250</v>
      </c>
      <c r="I8" s="51">
        <v>0</v>
      </c>
      <c r="J8" s="51">
        <v>0</v>
      </c>
      <c r="K8" s="50">
        <f t="shared" si="0"/>
        <v>250</v>
      </c>
      <c r="L8" s="51">
        <f t="shared" si="1"/>
        <v>-71</v>
      </c>
      <c r="M8" s="51">
        <f t="shared" si="2"/>
        <v>-39.664804469273747</v>
      </c>
      <c r="N8" s="90"/>
      <c r="O8" s="90"/>
      <c r="P8" s="89"/>
      <c r="Q8" s="89"/>
      <c r="R8" s="89"/>
      <c r="S8" s="89"/>
      <c r="T8" s="89"/>
      <c r="U8" s="89"/>
      <c r="V8" s="89"/>
      <c r="W8" s="89"/>
      <c r="X8" s="89"/>
      <c r="Y8" s="89"/>
      <c r="Z8" s="89"/>
    </row>
    <row r="9" spans="1:26" ht="28.5" customHeight="1" x14ac:dyDescent="0.25">
      <c r="A9" s="11" t="s">
        <v>1607</v>
      </c>
      <c r="B9" s="11"/>
      <c r="C9" s="11"/>
      <c r="D9" s="51">
        <v>1462</v>
      </c>
      <c r="E9" s="51">
        <v>0</v>
      </c>
      <c r="F9" s="51">
        <v>0</v>
      </c>
      <c r="G9" s="51">
        <v>1462</v>
      </c>
      <c r="H9" s="51">
        <v>1492</v>
      </c>
      <c r="I9" s="51">
        <v>0</v>
      </c>
      <c r="J9" s="51">
        <v>0</v>
      </c>
      <c r="K9" s="50">
        <f t="shared" si="0"/>
        <v>1492</v>
      </c>
      <c r="L9" s="51">
        <f t="shared" si="1"/>
        <v>-30</v>
      </c>
      <c r="M9" s="51">
        <f t="shared" si="2"/>
        <v>-2.0519835841313268</v>
      </c>
      <c r="N9" s="90"/>
      <c r="O9" s="90"/>
      <c r="P9" s="89"/>
      <c r="Q9" s="89"/>
      <c r="R9" s="89"/>
      <c r="S9" s="89"/>
      <c r="T9" s="89"/>
      <c r="U9" s="89"/>
      <c r="V9" s="89"/>
      <c r="W9" s="89"/>
      <c r="X9" s="89"/>
      <c r="Y9" s="89"/>
      <c r="Z9" s="89"/>
    </row>
    <row r="10" spans="1:26" ht="28.5" customHeight="1" x14ac:dyDescent="0.25">
      <c r="A10" s="11" t="s">
        <v>1608</v>
      </c>
      <c r="B10" s="11"/>
      <c r="C10" s="11" t="s">
        <v>221</v>
      </c>
      <c r="D10" s="51">
        <v>0</v>
      </c>
      <c r="E10" s="51">
        <v>353</v>
      </c>
      <c r="F10" s="51">
        <v>0</v>
      </c>
      <c r="G10" s="51">
        <v>353</v>
      </c>
      <c r="H10" s="51">
        <v>0</v>
      </c>
      <c r="I10" s="51">
        <v>354</v>
      </c>
      <c r="J10" s="51">
        <v>0</v>
      </c>
      <c r="K10" s="50">
        <f t="shared" si="0"/>
        <v>354</v>
      </c>
      <c r="L10" s="51">
        <f t="shared" si="1"/>
        <v>-1</v>
      </c>
      <c r="M10" s="51">
        <f t="shared" si="2"/>
        <v>-0.28328611898016998</v>
      </c>
      <c r="N10" s="90"/>
      <c r="O10" s="90"/>
      <c r="P10" s="89"/>
      <c r="Q10" s="89"/>
      <c r="R10" s="89"/>
      <c r="S10" s="89"/>
      <c r="T10" s="89"/>
      <c r="U10" s="89"/>
      <c r="V10" s="89"/>
      <c r="W10" s="89"/>
      <c r="X10" s="89"/>
      <c r="Y10" s="89"/>
      <c r="Z10" s="89"/>
    </row>
    <row r="11" spans="1:26" ht="28.5" customHeight="1" x14ac:dyDescent="0.25">
      <c r="A11" s="11" t="s">
        <v>23</v>
      </c>
      <c r="B11" s="11"/>
      <c r="C11" s="11"/>
      <c r="D11" s="51">
        <v>485</v>
      </c>
      <c r="E11" s="51">
        <v>459</v>
      </c>
      <c r="F11" s="51">
        <v>309</v>
      </c>
      <c r="G11" s="51">
        <v>1253</v>
      </c>
      <c r="H11" s="51">
        <v>546</v>
      </c>
      <c r="I11" s="51">
        <v>539</v>
      </c>
      <c r="J11" s="51">
        <v>271</v>
      </c>
      <c r="K11" s="50">
        <f t="shared" si="0"/>
        <v>1356</v>
      </c>
      <c r="L11" s="51">
        <f t="shared" si="1"/>
        <v>-103</v>
      </c>
      <c r="M11" s="51">
        <f t="shared" si="2"/>
        <v>-8.2202713487629691</v>
      </c>
      <c r="N11" s="90"/>
      <c r="O11" s="90"/>
      <c r="P11" s="89"/>
      <c r="Q11" s="89"/>
      <c r="R11" s="89"/>
      <c r="S11" s="89"/>
      <c r="T11" s="89"/>
      <c r="U11" s="89"/>
      <c r="V11" s="89"/>
      <c r="W11" s="89"/>
      <c r="X11" s="89"/>
      <c r="Y11" s="89"/>
      <c r="Z11" s="89"/>
    </row>
    <row r="12" spans="1:26" ht="28.5" customHeight="1" x14ac:dyDescent="0.25">
      <c r="A12" s="26" t="s">
        <v>38</v>
      </c>
      <c r="B12" s="240"/>
      <c r="C12" s="240"/>
      <c r="D12" s="19">
        <v>8447</v>
      </c>
      <c r="E12" s="19">
        <v>4757</v>
      </c>
      <c r="F12" s="19">
        <v>2154</v>
      </c>
      <c r="G12" s="19">
        <v>16659</v>
      </c>
      <c r="H12" s="19">
        <v>8542</v>
      </c>
      <c r="I12" s="19">
        <v>4795</v>
      </c>
      <c r="J12" s="19">
        <v>2246</v>
      </c>
      <c r="K12" s="19">
        <v>16887</v>
      </c>
      <c r="L12" s="19">
        <f t="shared" si="1"/>
        <v>-228</v>
      </c>
      <c r="M12" s="19">
        <f t="shared" si="2"/>
        <v>-1.368629569602017</v>
      </c>
      <c r="N12" s="90"/>
      <c r="O12" s="90"/>
      <c r="P12" s="89"/>
      <c r="Q12" s="89"/>
      <c r="R12" s="89"/>
      <c r="S12" s="89"/>
      <c r="T12" s="89"/>
      <c r="U12" s="89"/>
      <c r="V12" s="89"/>
      <c r="W12" s="89"/>
      <c r="X12" s="89"/>
      <c r="Y12" s="89"/>
      <c r="Z12" s="89"/>
    </row>
  </sheetData>
  <pageMargins left="0.7" right="0.7" top="0.75" bottom="0.75" header="0" footer="0"/>
  <pageSetup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2A5DB0"/>
  </sheetPr>
  <dimension ref="A1:Z18"/>
  <sheetViews>
    <sheetView workbookViewId="0">
      <pane ySplit="1" topLeftCell="A2" activePane="bottomLeft" state="frozen"/>
      <selection pane="bottomLeft"/>
    </sheetView>
  </sheetViews>
  <sheetFormatPr defaultColWidth="14.44140625" defaultRowHeight="15.75" customHeight="1" x14ac:dyDescent="0.25"/>
  <cols>
    <col min="1" max="1" width="24.5546875" customWidth="1"/>
    <col min="2" max="2" width="19" customWidth="1"/>
    <col min="3" max="3" width="20.21875" customWidth="1"/>
    <col min="4" max="4" width="16" customWidth="1"/>
    <col min="5" max="5" width="11.6640625" customWidth="1"/>
    <col min="6" max="7" width="16" customWidth="1"/>
    <col min="8" max="8" width="13" customWidth="1"/>
    <col min="9" max="9" width="9.77734375" customWidth="1"/>
    <col min="10" max="10" width="16" customWidth="1"/>
    <col min="11" max="11" width="13.6640625" customWidth="1"/>
    <col min="12" max="12" width="13.109375" customWidth="1"/>
    <col min="13" max="13" width="11.33203125" customWidth="1"/>
    <col min="14" max="26" width="15.6640625" customWidth="1"/>
  </cols>
  <sheetData>
    <row r="1" spans="1:26" ht="34.5" customHeight="1" x14ac:dyDescent="0.25">
      <c r="A1" s="241" t="s">
        <v>1811</v>
      </c>
      <c r="B1" s="47" t="s">
        <v>10</v>
      </c>
      <c r="C1" s="47" t="s">
        <v>11</v>
      </c>
      <c r="D1" s="47" t="s">
        <v>1678</v>
      </c>
      <c r="E1" s="47" t="s">
        <v>1696</v>
      </c>
      <c r="F1" s="47" t="s">
        <v>1809</v>
      </c>
      <c r="G1" s="9" t="s">
        <v>1680</v>
      </c>
      <c r="H1" s="47" t="s">
        <v>1678</v>
      </c>
      <c r="I1" s="47" t="s">
        <v>1696</v>
      </c>
      <c r="J1" s="47" t="s">
        <v>1809</v>
      </c>
      <c r="K1" s="48" t="s">
        <v>1681</v>
      </c>
      <c r="L1" s="47" t="s">
        <v>1682</v>
      </c>
      <c r="M1" s="48" t="s">
        <v>1683</v>
      </c>
      <c r="N1" s="239"/>
      <c r="O1" s="239"/>
      <c r="P1" s="239"/>
      <c r="Q1" s="239"/>
      <c r="R1" s="239"/>
      <c r="S1" s="239"/>
      <c r="T1" s="239"/>
      <c r="U1" s="239"/>
      <c r="V1" s="239"/>
      <c r="W1" s="239"/>
      <c r="X1" s="239"/>
      <c r="Y1" s="239"/>
      <c r="Z1" s="239"/>
    </row>
    <row r="2" spans="1:26" ht="28.5" customHeight="1" x14ac:dyDescent="0.3">
      <c r="A2" s="11" t="s">
        <v>280</v>
      </c>
      <c r="B2" s="11" t="s">
        <v>1812</v>
      </c>
      <c r="C2" s="32" t="s">
        <v>89</v>
      </c>
      <c r="D2" s="51">
        <v>1174</v>
      </c>
      <c r="E2" s="51">
        <v>431</v>
      </c>
      <c r="F2" s="51">
        <v>194</v>
      </c>
      <c r="G2" s="51">
        <v>1799</v>
      </c>
      <c r="H2" s="51">
        <v>1088</v>
      </c>
      <c r="I2" s="51">
        <v>429</v>
      </c>
      <c r="J2" s="51">
        <v>194</v>
      </c>
      <c r="K2" s="51">
        <v>1712</v>
      </c>
      <c r="L2" s="51">
        <f t="shared" ref="L2:L18" si="0">G2-K2</f>
        <v>87</v>
      </c>
      <c r="M2" s="51">
        <f t="shared" ref="M2:M6" si="1">(L2/K2)*100</f>
        <v>5.0817757009345792</v>
      </c>
      <c r="N2" s="126"/>
      <c r="O2" s="87"/>
      <c r="P2" s="87"/>
      <c r="Q2" s="87"/>
      <c r="R2" s="87"/>
      <c r="S2" s="87"/>
      <c r="T2" s="87"/>
      <c r="U2" s="87"/>
      <c r="V2" s="87"/>
      <c r="W2" s="87"/>
      <c r="X2" s="87"/>
      <c r="Y2" s="87"/>
      <c r="Z2" s="87"/>
    </row>
    <row r="3" spans="1:26" ht="28.5" customHeight="1" x14ac:dyDescent="0.3">
      <c r="A3" s="11" t="s">
        <v>519</v>
      </c>
      <c r="B3" s="11" t="s">
        <v>520</v>
      </c>
      <c r="C3" s="11" t="s">
        <v>62</v>
      </c>
      <c r="D3" s="51">
        <v>1072</v>
      </c>
      <c r="E3" s="51">
        <v>263</v>
      </c>
      <c r="F3" s="51">
        <v>115</v>
      </c>
      <c r="G3" s="51">
        <v>1451</v>
      </c>
      <c r="H3" s="51">
        <v>1001</v>
      </c>
      <c r="I3" s="51">
        <v>236</v>
      </c>
      <c r="J3" s="51">
        <v>86</v>
      </c>
      <c r="K3" s="51">
        <v>1322</v>
      </c>
      <c r="L3" s="51">
        <f t="shared" si="0"/>
        <v>129</v>
      </c>
      <c r="M3" s="51">
        <f t="shared" si="1"/>
        <v>9.7579425113464442</v>
      </c>
      <c r="N3" s="126"/>
      <c r="O3" s="87"/>
      <c r="P3" s="87"/>
      <c r="Q3" s="87"/>
      <c r="R3" s="87"/>
      <c r="S3" s="87"/>
      <c r="T3" s="87"/>
      <c r="U3" s="87"/>
      <c r="V3" s="87"/>
      <c r="W3" s="87"/>
      <c r="X3" s="87"/>
      <c r="Y3" s="87"/>
      <c r="Z3" s="87"/>
    </row>
    <row r="4" spans="1:26" ht="28.5" customHeight="1" x14ac:dyDescent="0.3">
      <c r="A4" s="11" t="s">
        <v>1610</v>
      </c>
      <c r="B4" s="11" t="s">
        <v>1222</v>
      </c>
      <c r="C4" s="11" t="s">
        <v>62</v>
      </c>
      <c r="D4" s="51">
        <v>167</v>
      </c>
      <c r="E4" s="51">
        <v>223</v>
      </c>
      <c r="F4" s="51">
        <v>398</v>
      </c>
      <c r="G4" s="51">
        <v>788</v>
      </c>
      <c r="H4" s="51">
        <v>189</v>
      </c>
      <c r="I4" s="51">
        <v>196</v>
      </c>
      <c r="J4" s="51">
        <v>385</v>
      </c>
      <c r="K4" s="51">
        <v>770</v>
      </c>
      <c r="L4" s="51">
        <f t="shared" si="0"/>
        <v>18</v>
      </c>
      <c r="M4" s="51">
        <f t="shared" si="1"/>
        <v>2.3376623376623376</v>
      </c>
      <c r="N4" s="87"/>
      <c r="O4" s="87"/>
      <c r="P4" s="87"/>
      <c r="Q4" s="87"/>
      <c r="R4" s="87"/>
      <c r="S4" s="87"/>
      <c r="T4" s="87"/>
      <c r="U4" s="87"/>
      <c r="V4" s="87"/>
      <c r="W4" s="87"/>
      <c r="X4" s="87"/>
      <c r="Y4" s="87"/>
      <c r="Z4" s="87"/>
    </row>
    <row r="5" spans="1:26" ht="28.5" customHeight="1" x14ac:dyDescent="0.3">
      <c r="A5" s="11" t="s">
        <v>1611</v>
      </c>
      <c r="B5" s="11" t="s">
        <v>1612</v>
      </c>
      <c r="C5" s="11" t="s">
        <v>62</v>
      </c>
      <c r="D5" s="51">
        <v>220</v>
      </c>
      <c r="E5" s="51">
        <v>60</v>
      </c>
      <c r="F5" s="51">
        <v>8</v>
      </c>
      <c r="G5" s="51">
        <v>288</v>
      </c>
      <c r="H5" s="51">
        <v>170</v>
      </c>
      <c r="I5" s="51">
        <v>45</v>
      </c>
      <c r="J5" s="51">
        <v>6</v>
      </c>
      <c r="K5" s="51">
        <v>221</v>
      </c>
      <c r="L5" s="51">
        <f t="shared" si="0"/>
        <v>67</v>
      </c>
      <c r="M5" s="51">
        <f t="shared" si="1"/>
        <v>30.316742081447963</v>
      </c>
      <c r="N5" s="87"/>
      <c r="O5" s="87"/>
      <c r="P5" s="87"/>
      <c r="Q5" s="87"/>
      <c r="R5" s="87"/>
      <c r="S5" s="87"/>
      <c r="T5" s="87"/>
      <c r="U5" s="87"/>
      <c r="V5" s="87"/>
      <c r="W5" s="87"/>
      <c r="X5" s="87"/>
      <c r="Y5" s="87"/>
      <c r="Z5" s="87"/>
    </row>
    <row r="6" spans="1:26" ht="28.5" customHeight="1" x14ac:dyDescent="0.3">
      <c r="A6" s="11" t="s">
        <v>1613</v>
      </c>
      <c r="B6" s="11" t="s">
        <v>1224</v>
      </c>
      <c r="C6" s="11" t="s">
        <v>62</v>
      </c>
      <c r="D6" s="51">
        <v>98</v>
      </c>
      <c r="E6" s="51">
        <v>168</v>
      </c>
      <c r="F6" s="51">
        <v>45</v>
      </c>
      <c r="G6" s="51">
        <v>311</v>
      </c>
      <c r="H6" s="51">
        <v>97</v>
      </c>
      <c r="I6" s="51">
        <v>170</v>
      </c>
      <c r="J6" s="51">
        <v>52</v>
      </c>
      <c r="K6" s="51">
        <v>319</v>
      </c>
      <c r="L6" s="51">
        <f t="shared" si="0"/>
        <v>-8</v>
      </c>
      <c r="M6" s="51">
        <f t="shared" si="1"/>
        <v>-2.507836990595611</v>
      </c>
      <c r="N6" s="87"/>
      <c r="O6" s="87"/>
      <c r="P6" s="87"/>
      <c r="Q6" s="87"/>
      <c r="R6" s="87"/>
      <c r="S6" s="87"/>
      <c r="T6" s="87"/>
      <c r="U6" s="87"/>
      <c r="V6" s="87"/>
      <c r="W6" s="87"/>
      <c r="X6" s="87"/>
      <c r="Y6" s="87"/>
      <c r="Z6" s="87"/>
    </row>
    <row r="7" spans="1:26" ht="28.5" customHeight="1" x14ac:dyDescent="0.3">
      <c r="A7" s="11" t="s">
        <v>1614</v>
      </c>
      <c r="B7" s="11" t="s">
        <v>1615</v>
      </c>
      <c r="C7" s="11" t="s">
        <v>62</v>
      </c>
      <c r="D7" s="51">
        <v>26</v>
      </c>
      <c r="E7" s="51">
        <v>0</v>
      </c>
      <c r="F7" s="51">
        <v>0</v>
      </c>
      <c r="G7" s="51">
        <v>26</v>
      </c>
      <c r="H7" s="51">
        <v>0</v>
      </c>
      <c r="I7" s="51">
        <v>0</v>
      </c>
      <c r="J7" s="51">
        <v>0</v>
      </c>
      <c r="K7" s="51">
        <v>0</v>
      </c>
      <c r="L7" s="51">
        <f t="shared" si="0"/>
        <v>26</v>
      </c>
      <c r="M7" s="51" t="s">
        <v>67</v>
      </c>
      <c r="N7" s="87"/>
      <c r="O7" s="87"/>
      <c r="P7" s="87"/>
      <c r="Q7" s="87"/>
      <c r="R7" s="87"/>
      <c r="S7" s="87"/>
      <c r="T7" s="87"/>
      <c r="U7" s="87"/>
      <c r="V7" s="87"/>
      <c r="W7" s="87"/>
      <c r="X7" s="87"/>
      <c r="Y7" s="87"/>
      <c r="Z7" s="87"/>
    </row>
    <row r="8" spans="1:26" ht="28.5" customHeight="1" x14ac:dyDescent="0.3">
      <c r="A8" s="11" t="s">
        <v>124</v>
      </c>
      <c r="B8" s="11" t="s">
        <v>1616</v>
      </c>
      <c r="C8" s="11" t="s">
        <v>126</v>
      </c>
      <c r="D8" s="51">
        <v>0</v>
      </c>
      <c r="E8" s="51">
        <v>2</v>
      </c>
      <c r="F8" s="51">
        <v>0</v>
      </c>
      <c r="G8" s="51">
        <v>2</v>
      </c>
      <c r="H8" s="51">
        <v>0</v>
      </c>
      <c r="I8" s="51">
        <v>0</v>
      </c>
      <c r="J8" s="51">
        <v>0</v>
      </c>
      <c r="K8" s="51">
        <v>0</v>
      </c>
      <c r="L8" s="51">
        <f t="shared" si="0"/>
        <v>2</v>
      </c>
      <c r="M8" s="51" t="s">
        <v>67</v>
      </c>
      <c r="N8" s="87"/>
      <c r="O8" s="87"/>
      <c r="P8" s="87"/>
      <c r="Q8" s="87"/>
      <c r="R8" s="87"/>
      <c r="S8" s="87"/>
      <c r="T8" s="87"/>
      <c r="U8" s="87"/>
      <c r="V8" s="87"/>
      <c r="W8" s="87"/>
      <c r="X8" s="87"/>
      <c r="Y8" s="87"/>
      <c r="Z8" s="87"/>
    </row>
    <row r="9" spans="1:26" ht="28.5" customHeight="1" x14ac:dyDescent="0.3">
      <c r="A9" s="11" t="s">
        <v>487</v>
      </c>
      <c r="B9" s="11"/>
      <c r="C9" s="11"/>
      <c r="D9" s="51">
        <v>2</v>
      </c>
      <c r="E9" s="51">
        <v>227</v>
      </c>
      <c r="F9" s="51">
        <v>129</v>
      </c>
      <c r="G9" s="51">
        <v>358</v>
      </c>
      <c r="H9" s="51">
        <v>1</v>
      </c>
      <c r="I9" s="51">
        <v>256</v>
      </c>
      <c r="J9" s="51">
        <v>183</v>
      </c>
      <c r="K9" s="51">
        <v>440</v>
      </c>
      <c r="L9" s="51">
        <f t="shared" si="0"/>
        <v>-82</v>
      </c>
      <c r="M9" s="51">
        <f t="shared" ref="M9:M18" si="2">(L9/K9)*100</f>
        <v>-18.636363636363637</v>
      </c>
      <c r="N9" s="87"/>
      <c r="O9" s="87"/>
      <c r="P9" s="87"/>
      <c r="Q9" s="87"/>
      <c r="R9" s="87"/>
      <c r="S9" s="87"/>
      <c r="T9" s="87"/>
      <c r="U9" s="87"/>
      <c r="V9" s="87"/>
      <c r="W9" s="87"/>
      <c r="X9" s="87"/>
      <c r="Y9" s="87"/>
      <c r="Z9" s="87"/>
    </row>
    <row r="10" spans="1:26" ht="28.5" customHeight="1" x14ac:dyDescent="0.3">
      <c r="A10" s="11" t="s">
        <v>1617</v>
      </c>
      <c r="B10" s="11" t="s">
        <v>1618</v>
      </c>
      <c r="C10" s="11" t="s">
        <v>43</v>
      </c>
      <c r="D10" s="51"/>
      <c r="E10" s="51"/>
      <c r="F10" s="51"/>
      <c r="G10" s="51">
        <v>75</v>
      </c>
      <c r="H10" s="51"/>
      <c r="I10" s="51"/>
      <c r="J10" s="51"/>
      <c r="K10" s="51">
        <v>89</v>
      </c>
      <c r="L10" s="51">
        <f t="shared" si="0"/>
        <v>-14</v>
      </c>
      <c r="M10" s="51">
        <f t="shared" si="2"/>
        <v>-15.730337078651685</v>
      </c>
      <c r="N10" s="87"/>
      <c r="O10" s="87"/>
      <c r="P10" s="87"/>
      <c r="Q10" s="87"/>
      <c r="R10" s="87"/>
      <c r="S10" s="87"/>
      <c r="T10" s="87"/>
      <c r="U10" s="87"/>
      <c r="V10" s="87"/>
      <c r="W10" s="87"/>
      <c r="X10" s="87"/>
      <c r="Y10" s="87"/>
      <c r="Z10" s="87"/>
    </row>
    <row r="11" spans="1:26" ht="28.5" customHeight="1" x14ac:dyDescent="0.3">
      <c r="A11" s="11" t="s">
        <v>1470</v>
      </c>
      <c r="B11" s="11" t="s">
        <v>1471</v>
      </c>
      <c r="C11" s="11" t="s">
        <v>43</v>
      </c>
      <c r="D11" s="51"/>
      <c r="E11" s="51"/>
      <c r="F11" s="51"/>
      <c r="G11" s="51">
        <v>74</v>
      </c>
      <c r="H11" s="51"/>
      <c r="I11" s="51"/>
      <c r="J11" s="51"/>
      <c r="K11" s="51">
        <v>101</v>
      </c>
      <c r="L11" s="51">
        <f t="shared" si="0"/>
        <v>-27</v>
      </c>
      <c r="M11" s="51">
        <f t="shared" si="2"/>
        <v>-26.732673267326735</v>
      </c>
      <c r="N11" s="87"/>
      <c r="O11" s="87"/>
      <c r="P11" s="87"/>
      <c r="Q11" s="87"/>
      <c r="R11" s="87"/>
      <c r="S11" s="87"/>
      <c r="T11" s="87"/>
      <c r="U11" s="87"/>
      <c r="V11" s="87"/>
      <c r="W11" s="87"/>
      <c r="X11" s="87"/>
      <c r="Y11" s="87"/>
      <c r="Z11" s="87"/>
    </row>
    <row r="12" spans="1:26" ht="28.5" customHeight="1" x14ac:dyDescent="0.3">
      <c r="A12" s="11" t="s">
        <v>177</v>
      </c>
      <c r="B12" s="11"/>
      <c r="C12" s="11"/>
      <c r="D12" s="51"/>
      <c r="E12" s="51"/>
      <c r="F12" s="51"/>
      <c r="G12" s="51">
        <v>237</v>
      </c>
      <c r="H12" s="51"/>
      <c r="I12" s="51"/>
      <c r="J12" s="51"/>
      <c r="K12" s="51">
        <v>250</v>
      </c>
      <c r="L12" s="51">
        <f t="shared" si="0"/>
        <v>-13</v>
      </c>
      <c r="M12" s="51">
        <f t="shared" si="2"/>
        <v>-5.2</v>
      </c>
      <c r="N12" s="87"/>
      <c r="O12" s="87"/>
      <c r="P12" s="87"/>
      <c r="Q12" s="87"/>
      <c r="R12" s="87"/>
      <c r="S12" s="87"/>
      <c r="T12" s="87"/>
      <c r="U12" s="87"/>
      <c r="V12" s="87"/>
      <c r="W12" s="87"/>
      <c r="X12" s="87"/>
      <c r="Y12" s="87"/>
      <c r="Z12" s="87"/>
    </row>
    <row r="13" spans="1:26" ht="28.5" customHeight="1" x14ac:dyDescent="0.3">
      <c r="A13" s="26" t="s">
        <v>1619</v>
      </c>
      <c r="B13" s="26"/>
      <c r="C13" s="26"/>
      <c r="D13" s="19"/>
      <c r="E13" s="19"/>
      <c r="F13" s="19"/>
      <c r="G13" s="19">
        <v>5023</v>
      </c>
      <c r="H13" s="19">
        <v>2546</v>
      </c>
      <c r="I13" s="19">
        <v>1332</v>
      </c>
      <c r="J13" s="19">
        <v>906</v>
      </c>
      <c r="K13" s="19">
        <v>4784</v>
      </c>
      <c r="L13" s="19">
        <f t="shared" si="0"/>
        <v>239</v>
      </c>
      <c r="M13" s="19">
        <f t="shared" si="2"/>
        <v>4.9958193979933112</v>
      </c>
      <c r="N13" s="198"/>
      <c r="O13" s="198"/>
      <c r="P13" s="198"/>
      <c r="Q13" s="198"/>
      <c r="R13" s="198"/>
      <c r="S13" s="198"/>
      <c r="T13" s="198"/>
      <c r="U13" s="198"/>
      <c r="V13" s="198"/>
      <c r="W13" s="198"/>
      <c r="X13" s="198"/>
      <c r="Y13" s="198"/>
      <c r="Z13" s="198"/>
    </row>
    <row r="14" spans="1:26" ht="28.5" customHeight="1" x14ac:dyDescent="0.3">
      <c r="A14" s="26" t="s">
        <v>1620</v>
      </c>
      <c r="B14" s="26"/>
      <c r="C14" s="26"/>
      <c r="D14" s="19"/>
      <c r="E14" s="19"/>
      <c r="F14" s="19"/>
      <c r="G14" s="19">
        <v>29</v>
      </c>
      <c r="H14" s="19"/>
      <c r="I14" s="19"/>
      <c r="J14" s="19"/>
      <c r="K14" s="19">
        <v>-104</v>
      </c>
      <c r="L14" s="19">
        <f t="shared" si="0"/>
        <v>133</v>
      </c>
      <c r="M14" s="19">
        <f t="shared" si="2"/>
        <v>-127.88461538461537</v>
      </c>
      <c r="N14" s="198"/>
      <c r="O14" s="198"/>
      <c r="P14" s="198"/>
      <c r="Q14" s="198"/>
      <c r="R14" s="198"/>
      <c r="S14" s="198"/>
      <c r="T14" s="198"/>
      <c r="U14" s="198"/>
      <c r="V14" s="198"/>
      <c r="W14" s="198"/>
      <c r="X14" s="198"/>
      <c r="Y14" s="198"/>
      <c r="Z14" s="198"/>
    </row>
    <row r="15" spans="1:26" ht="28.5" customHeight="1" x14ac:dyDescent="0.3">
      <c r="A15" s="26" t="s">
        <v>1621</v>
      </c>
      <c r="B15" s="26"/>
      <c r="C15" s="26"/>
      <c r="D15" s="19"/>
      <c r="E15" s="19"/>
      <c r="F15" s="19"/>
      <c r="G15" s="19">
        <v>5052</v>
      </c>
      <c r="H15" s="19"/>
      <c r="I15" s="19"/>
      <c r="J15" s="19"/>
      <c r="K15" s="19">
        <v>4680</v>
      </c>
      <c r="L15" s="19">
        <f t="shared" si="0"/>
        <v>372</v>
      </c>
      <c r="M15" s="19">
        <f t="shared" si="2"/>
        <v>7.948717948717948</v>
      </c>
      <c r="N15" s="77"/>
      <c r="O15" s="77"/>
      <c r="P15" s="77"/>
      <c r="Q15" s="77"/>
      <c r="R15" s="77"/>
      <c r="S15" s="77"/>
      <c r="T15" s="77"/>
      <c r="U15" s="77"/>
      <c r="V15" s="77"/>
      <c r="W15" s="77"/>
      <c r="X15" s="77"/>
      <c r="Y15" s="77"/>
      <c r="Z15" s="77"/>
    </row>
    <row r="16" spans="1:26" ht="28.5" customHeight="1" x14ac:dyDescent="0.25">
      <c r="A16" s="118" t="s">
        <v>1622</v>
      </c>
      <c r="B16" s="242"/>
      <c r="C16" s="243"/>
      <c r="D16" s="19"/>
      <c r="E16" s="19"/>
      <c r="F16" s="19"/>
      <c r="G16" s="19">
        <v>96</v>
      </c>
      <c r="H16" s="19"/>
      <c r="I16" s="19"/>
      <c r="J16" s="19"/>
      <c r="K16" s="19">
        <v>78</v>
      </c>
      <c r="L16" s="19">
        <f t="shared" si="0"/>
        <v>18</v>
      </c>
      <c r="M16" s="19">
        <f t="shared" si="2"/>
        <v>23.076923076923077</v>
      </c>
      <c r="N16" s="117"/>
      <c r="O16" s="117"/>
      <c r="P16" s="117"/>
      <c r="Q16" s="117"/>
      <c r="R16" s="117"/>
      <c r="S16" s="117"/>
      <c r="T16" s="117"/>
      <c r="U16" s="117"/>
      <c r="V16" s="117"/>
      <c r="W16" s="117"/>
      <c r="X16" s="117"/>
      <c r="Y16" s="117"/>
      <c r="Z16" s="117"/>
    </row>
    <row r="17" spans="1:26" ht="28.5" customHeight="1" x14ac:dyDescent="0.25">
      <c r="A17" s="26" t="s">
        <v>121</v>
      </c>
      <c r="B17" s="26"/>
      <c r="C17" s="26"/>
      <c r="D17" s="19"/>
      <c r="E17" s="19"/>
      <c r="F17" s="19"/>
      <c r="G17" s="19">
        <v>199</v>
      </c>
      <c r="H17" s="19"/>
      <c r="I17" s="19"/>
      <c r="J17" s="19"/>
      <c r="K17" s="19">
        <v>155</v>
      </c>
      <c r="L17" s="19">
        <f t="shared" si="0"/>
        <v>44</v>
      </c>
      <c r="M17" s="19">
        <f t="shared" si="2"/>
        <v>28.387096774193548</v>
      </c>
      <c r="N17" s="117"/>
      <c r="O17" s="117"/>
      <c r="P17" s="117"/>
      <c r="Q17" s="117"/>
      <c r="R17" s="117"/>
      <c r="S17" s="117"/>
      <c r="T17" s="117"/>
      <c r="U17" s="117"/>
      <c r="V17" s="117"/>
      <c r="W17" s="117"/>
      <c r="X17" s="117"/>
      <c r="Y17" s="117"/>
      <c r="Z17" s="117"/>
    </row>
    <row r="18" spans="1:26" ht="28.5" customHeight="1" x14ac:dyDescent="0.25">
      <c r="A18" s="118" t="s">
        <v>248</v>
      </c>
      <c r="B18" s="118"/>
      <c r="C18" s="118"/>
      <c r="D18" s="92"/>
      <c r="E18" s="92"/>
      <c r="F18" s="92"/>
      <c r="G18" s="92">
        <v>5347</v>
      </c>
      <c r="H18" s="92"/>
      <c r="I18" s="92"/>
      <c r="J18" s="92"/>
      <c r="K18" s="92">
        <v>4913</v>
      </c>
      <c r="L18" s="19">
        <f t="shared" si="0"/>
        <v>434</v>
      </c>
      <c r="M18" s="19">
        <f t="shared" si="2"/>
        <v>8.8337064929778144</v>
      </c>
      <c r="N18" s="117"/>
      <c r="O18" s="117"/>
      <c r="P18" s="117"/>
      <c r="Q18" s="117"/>
      <c r="R18" s="117"/>
      <c r="S18" s="117"/>
      <c r="T18" s="117"/>
      <c r="U18" s="117"/>
      <c r="V18" s="117"/>
      <c r="W18" s="117"/>
      <c r="X18" s="117"/>
      <c r="Y18" s="117"/>
      <c r="Z18" s="117"/>
    </row>
  </sheetData>
  <pageMargins left="0.7" right="0.7" top="0.75" bottom="0.75" header="0" footer="0"/>
  <pageSetup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2A5DB0"/>
  </sheetPr>
  <dimension ref="A1:Z12"/>
  <sheetViews>
    <sheetView workbookViewId="0">
      <pane ySplit="1" topLeftCell="A2" activePane="bottomLeft" state="frozen"/>
      <selection pane="bottomLeft"/>
    </sheetView>
  </sheetViews>
  <sheetFormatPr defaultColWidth="14.44140625" defaultRowHeight="15.75" customHeight="1" x14ac:dyDescent="0.25"/>
  <cols>
    <col min="1" max="1" width="31.88671875" customWidth="1"/>
    <col min="2" max="2" width="31.33203125" customWidth="1"/>
    <col min="3" max="3" width="28.6640625" customWidth="1"/>
    <col min="4" max="4" width="21.5546875" customWidth="1"/>
    <col min="5" max="5" width="22.5546875" customWidth="1"/>
    <col min="6" max="6" width="15.6640625" customWidth="1"/>
    <col min="7" max="7" width="38.88671875" customWidth="1"/>
    <col min="8" max="26" width="15.6640625" customWidth="1"/>
  </cols>
  <sheetData>
    <row r="1" spans="1:26" ht="34.5" customHeight="1" x14ac:dyDescent="0.25">
      <c r="A1" s="123" t="s">
        <v>1813</v>
      </c>
      <c r="B1" s="124" t="s">
        <v>10</v>
      </c>
      <c r="C1" s="124" t="s">
        <v>11</v>
      </c>
      <c r="D1" s="129" t="s">
        <v>1680</v>
      </c>
      <c r="E1" s="227" t="s">
        <v>1681</v>
      </c>
      <c r="F1" s="124" t="s">
        <v>1682</v>
      </c>
      <c r="G1" s="228" t="s">
        <v>1683</v>
      </c>
      <c r="H1" s="244"/>
      <c r="I1" s="244"/>
      <c r="J1" s="244"/>
      <c r="K1" s="244"/>
      <c r="L1" s="244"/>
      <c r="M1" s="244"/>
      <c r="N1" s="244"/>
      <c r="O1" s="244"/>
      <c r="P1" s="244"/>
      <c r="Q1" s="244"/>
      <c r="R1" s="244"/>
      <c r="S1" s="244"/>
      <c r="T1" s="244"/>
      <c r="U1" s="244"/>
      <c r="V1" s="244"/>
      <c r="W1" s="244"/>
      <c r="X1" s="244"/>
      <c r="Y1" s="244"/>
      <c r="Z1" s="244"/>
    </row>
    <row r="2" spans="1:26" ht="28.5" customHeight="1" x14ac:dyDescent="0.3">
      <c r="A2" s="11" t="s">
        <v>925</v>
      </c>
      <c r="B2" s="11" t="s">
        <v>1814</v>
      </c>
      <c r="C2" s="11" t="s">
        <v>169</v>
      </c>
      <c r="D2" s="51">
        <v>10.35</v>
      </c>
      <c r="E2" s="51">
        <v>4.2859999999999996</v>
      </c>
      <c r="F2" s="51">
        <f t="shared" ref="F2:F12" si="0">D2-E2</f>
        <v>6.0640000000000001</v>
      </c>
      <c r="G2" s="51">
        <f t="shared" ref="G2:G7" si="1">(F2/E2)*100</f>
        <v>141.48390107326182</v>
      </c>
      <c r="H2" s="245"/>
      <c r="I2" s="70"/>
      <c r="J2" s="70"/>
      <c r="K2" s="70"/>
      <c r="L2" s="70"/>
      <c r="M2" s="70"/>
      <c r="N2" s="70"/>
      <c r="O2" s="70"/>
      <c r="P2" s="70"/>
      <c r="Q2" s="70"/>
      <c r="R2" s="70"/>
      <c r="S2" s="70"/>
      <c r="T2" s="70"/>
      <c r="U2" s="70"/>
      <c r="V2" s="70"/>
      <c r="W2" s="70"/>
      <c r="X2" s="70"/>
      <c r="Y2" s="70"/>
      <c r="Z2" s="70"/>
    </row>
    <row r="3" spans="1:26" ht="28.5" customHeight="1" x14ac:dyDescent="0.3">
      <c r="A3" s="11" t="s">
        <v>1624</v>
      </c>
      <c r="B3" s="11" t="s">
        <v>1625</v>
      </c>
      <c r="C3" s="11" t="s">
        <v>169</v>
      </c>
      <c r="D3" s="51">
        <v>15.342000000000001</v>
      </c>
      <c r="E3" s="51">
        <v>12.634</v>
      </c>
      <c r="F3" s="51">
        <f t="shared" si="0"/>
        <v>2.7080000000000002</v>
      </c>
      <c r="G3" s="51">
        <f t="shared" si="1"/>
        <v>21.43422510685452</v>
      </c>
      <c r="H3" s="245"/>
      <c r="I3" s="70"/>
      <c r="J3" s="70"/>
      <c r="K3" s="70"/>
      <c r="L3" s="70"/>
      <c r="M3" s="70"/>
      <c r="N3" s="70"/>
      <c r="O3" s="70"/>
      <c r="P3" s="70"/>
      <c r="Q3" s="70"/>
      <c r="R3" s="70"/>
      <c r="S3" s="70"/>
      <c r="T3" s="70"/>
      <c r="U3" s="70"/>
      <c r="V3" s="70"/>
      <c r="W3" s="70"/>
      <c r="X3" s="70"/>
      <c r="Y3" s="70"/>
      <c r="Z3" s="70"/>
    </row>
    <row r="4" spans="1:26" ht="28.5" customHeight="1" x14ac:dyDescent="0.3">
      <c r="A4" s="11" t="s">
        <v>1626</v>
      </c>
      <c r="B4" s="11" t="s">
        <v>1627</v>
      </c>
      <c r="C4" s="32" t="s">
        <v>92</v>
      </c>
      <c r="D4" s="51">
        <v>13.028</v>
      </c>
      <c r="E4" s="51">
        <v>3.3010000000000002</v>
      </c>
      <c r="F4" s="51">
        <f t="shared" si="0"/>
        <v>9.7270000000000003</v>
      </c>
      <c r="G4" s="51">
        <f t="shared" si="1"/>
        <v>294.66828233868523</v>
      </c>
      <c r="H4" s="245"/>
      <c r="I4" s="70"/>
      <c r="J4" s="70"/>
      <c r="K4" s="70"/>
      <c r="L4" s="70"/>
      <c r="M4" s="70"/>
      <c r="N4" s="70"/>
      <c r="O4" s="70"/>
      <c r="P4" s="70"/>
      <c r="Q4" s="70"/>
      <c r="R4" s="70"/>
      <c r="S4" s="70"/>
      <c r="T4" s="70"/>
      <c r="U4" s="70"/>
      <c r="V4" s="70"/>
      <c r="W4" s="70"/>
      <c r="X4" s="70"/>
      <c r="Y4" s="70"/>
      <c r="Z4" s="70"/>
    </row>
    <row r="5" spans="1:26" ht="28.5" customHeight="1" x14ac:dyDescent="0.3">
      <c r="A5" s="26" t="s">
        <v>1628</v>
      </c>
      <c r="B5" s="26"/>
      <c r="C5" s="26"/>
      <c r="D5" s="19">
        <v>38.72</v>
      </c>
      <c r="E5" s="19">
        <v>20.221</v>
      </c>
      <c r="F5" s="19">
        <f t="shared" si="0"/>
        <v>18.498999999999999</v>
      </c>
      <c r="G5" s="19">
        <f t="shared" si="1"/>
        <v>91.48410068740418</v>
      </c>
      <c r="H5" s="245"/>
      <c r="I5" s="70"/>
      <c r="J5" s="70"/>
      <c r="K5" s="70"/>
      <c r="L5" s="70"/>
      <c r="M5" s="70"/>
      <c r="N5" s="70"/>
      <c r="O5" s="70"/>
      <c r="P5" s="70"/>
      <c r="Q5" s="70"/>
      <c r="R5" s="70"/>
      <c r="S5" s="70"/>
      <c r="T5" s="70"/>
      <c r="U5" s="70"/>
      <c r="V5" s="70"/>
      <c r="W5" s="70"/>
      <c r="X5" s="70"/>
      <c r="Y5" s="70"/>
      <c r="Z5" s="70"/>
    </row>
    <row r="6" spans="1:26" ht="28.5" customHeight="1" x14ac:dyDescent="0.3">
      <c r="A6" s="11" t="s">
        <v>1629</v>
      </c>
      <c r="B6" s="11"/>
      <c r="C6" s="11"/>
      <c r="D6" s="51">
        <v>128.59700000000001</v>
      </c>
      <c r="E6" s="51">
        <v>74.869</v>
      </c>
      <c r="F6" s="51">
        <f t="shared" si="0"/>
        <v>53.728000000000009</v>
      </c>
      <c r="G6" s="51">
        <f t="shared" si="1"/>
        <v>71.762678812325547</v>
      </c>
      <c r="H6" s="245"/>
      <c r="I6" s="70"/>
      <c r="J6" s="70"/>
      <c r="K6" s="70"/>
      <c r="L6" s="70"/>
      <c r="M6" s="70"/>
      <c r="N6" s="70"/>
      <c r="O6" s="70"/>
      <c r="P6" s="70"/>
      <c r="Q6" s="70"/>
      <c r="R6" s="70"/>
      <c r="S6" s="70"/>
      <c r="T6" s="70"/>
      <c r="U6" s="70"/>
      <c r="V6" s="70"/>
      <c r="W6" s="70"/>
      <c r="X6" s="70"/>
      <c r="Y6" s="70"/>
      <c r="Z6" s="70"/>
    </row>
    <row r="7" spans="1:26" ht="28.5" customHeight="1" x14ac:dyDescent="0.3">
      <c r="A7" s="11" t="s">
        <v>1630</v>
      </c>
      <c r="B7" s="11"/>
      <c r="C7" s="11"/>
      <c r="D7" s="51">
        <v>1.498</v>
      </c>
      <c r="E7" s="51">
        <v>8.1199999999999992</v>
      </c>
      <c r="F7" s="51">
        <f t="shared" si="0"/>
        <v>-6.621999999999999</v>
      </c>
      <c r="G7" s="51">
        <f t="shared" si="1"/>
        <v>-81.551724137931032</v>
      </c>
      <c r="H7" s="245"/>
      <c r="I7" s="70"/>
      <c r="J7" s="70"/>
      <c r="K7" s="70"/>
      <c r="L7" s="70"/>
      <c r="M7" s="70"/>
      <c r="N7" s="70"/>
      <c r="O7" s="70"/>
      <c r="P7" s="70"/>
      <c r="Q7" s="70"/>
      <c r="R7" s="70"/>
      <c r="S7" s="70"/>
      <c r="T7" s="70"/>
      <c r="U7" s="70"/>
      <c r="V7" s="70"/>
      <c r="W7" s="70"/>
      <c r="X7" s="70"/>
      <c r="Y7" s="70"/>
      <c r="Z7" s="70"/>
    </row>
    <row r="8" spans="1:26" ht="28.5" customHeight="1" x14ac:dyDescent="0.3">
      <c r="A8" s="11" t="s">
        <v>502</v>
      </c>
      <c r="B8" s="11"/>
      <c r="C8" s="32"/>
      <c r="D8" s="51">
        <v>89.22</v>
      </c>
      <c r="E8" s="51">
        <v>0</v>
      </c>
      <c r="F8" s="51">
        <f t="shared" si="0"/>
        <v>89.22</v>
      </c>
      <c r="G8" s="51" t="s">
        <v>1631</v>
      </c>
      <c r="H8" s="245"/>
      <c r="I8" s="246"/>
      <c r="J8" s="246"/>
      <c r="K8" s="246"/>
      <c r="L8" s="246"/>
      <c r="M8" s="246"/>
      <c r="N8" s="246"/>
      <c r="O8" s="246"/>
      <c r="P8" s="246"/>
      <c r="Q8" s="246"/>
      <c r="R8" s="246"/>
      <c r="S8" s="246"/>
      <c r="T8" s="246"/>
      <c r="U8" s="246"/>
      <c r="V8" s="246"/>
      <c r="W8" s="246"/>
      <c r="X8" s="246"/>
      <c r="Y8" s="246"/>
      <c r="Z8" s="246"/>
    </row>
    <row r="9" spans="1:26" ht="28.5" customHeight="1" x14ac:dyDescent="0.3">
      <c r="A9" s="11" t="s">
        <v>315</v>
      </c>
      <c r="B9" s="11"/>
      <c r="C9" s="32"/>
      <c r="D9" s="51">
        <v>0</v>
      </c>
      <c r="E9" s="51">
        <v>0.504</v>
      </c>
      <c r="F9" s="51">
        <f t="shared" si="0"/>
        <v>-0.504</v>
      </c>
      <c r="G9" s="51">
        <f t="shared" ref="G9:G10" si="2">(F9/E9)*100</f>
        <v>-100</v>
      </c>
      <c r="H9" s="245"/>
      <c r="I9" s="246"/>
      <c r="J9" s="246"/>
      <c r="K9" s="246"/>
      <c r="L9" s="246"/>
      <c r="M9" s="246"/>
      <c r="N9" s="246"/>
      <c r="O9" s="246"/>
      <c r="P9" s="246"/>
      <c r="Q9" s="246"/>
      <c r="R9" s="246"/>
      <c r="S9" s="246"/>
      <c r="T9" s="246"/>
      <c r="U9" s="246"/>
      <c r="V9" s="246"/>
      <c r="W9" s="246"/>
      <c r="X9" s="246"/>
      <c r="Y9" s="246"/>
      <c r="Z9" s="246"/>
    </row>
    <row r="10" spans="1:26" ht="28.5" customHeight="1" x14ac:dyDescent="0.3">
      <c r="A10" s="26" t="s">
        <v>1632</v>
      </c>
      <c r="B10" s="26"/>
      <c r="C10" s="30"/>
      <c r="D10" s="19">
        <v>219.315</v>
      </c>
      <c r="E10" s="19">
        <v>83.492999999999995</v>
      </c>
      <c r="F10" s="19">
        <f t="shared" si="0"/>
        <v>135.822</v>
      </c>
      <c r="G10" s="19">
        <f t="shared" si="2"/>
        <v>162.67471524558948</v>
      </c>
      <c r="H10" s="245"/>
      <c r="I10" s="246"/>
      <c r="J10" s="246"/>
      <c r="K10" s="246"/>
      <c r="L10" s="246"/>
      <c r="M10" s="246"/>
      <c r="N10" s="246"/>
      <c r="O10" s="246"/>
      <c r="P10" s="246"/>
      <c r="Q10" s="246"/>
      <c r="R10" s="246"/>
      <c r="S10" s="246"/>
      <c r="T10" s="246"/>
      <c r="U10" s="246"/>
      <c r="V10" s="246"/>
      <c r="W10" s="246"/>
      <c r="X10" s="246"/>
      <c r="Y10" s="246"/>
      <c r="Z10" s="246"/>
    </row>
    <row r="11" spans="1:26" ht="28.5" customHeight="1" x14ac:dyDescent="0.3">
      <c r="A11" s="11" t="s">
        <v>1633</v>
      </c>
      <c r="B11" s="247"/>
      <c r="C11" s="11"/>
      <c r="D11" s="51">
        <v>12.994999999999999</v>
      </c>
      <c r="E11" s="51">
        <v>0</v>
      </c>
      <c r="F11" s="51">
        <f t="shared" si="0"/>
        <v>12.994999999999999</v>
      </c>
      <c r="G11" s="64">
        <v>100</v>
      </c>
      <c r="H11" s="245"/>
      <c r="I11" s="70"/>
      <c r="J11" s="70"/>
      <c r="K11" s="70"/>
      <c r="L11" s="70"/>
      <c r="M11" s="70"/>
      <c r="N11" s="70"/>
      <c r="O11" s="70"/>
      <c r="P11" s="70"/>
      <c r="Q11" s="70"/>
      <c r="R11" s="70"/>
      <c r="S11" s="70"/>
      <c r="T11" s="70"/>
      <c r="U11" s="70"/>
      <c r="V11" s="70"/>
      <c r="W11" s="70"/>
      <c r="X11" s="70"/>
      <c r="Y11" s="70"/>
      <c r="Z11" s="70"/>
    </row>
    <row r="12" spans="1:26" ht="28.5" customHeight="1" x14ac:dyDescent="0.3">
      <c r="A12" s="26" t="s">
        <v>101</v>
      </c>
      <c r="B12" s="248"/>
      <c r="C12" s="26"/>
      <c r="D12" s="19">
        <v>271.02999999999997</v>
      </c>
      <c r="E12" s="19">
        <v>103.714</v>
      </c>
      <c r="F12" s="19">
        <f t="shared" si="0"/>
        <v>167.31599999999997</v>
      </c>
      <c r="G12" s="19">
        <f>(F12/E12)*100</f>
        <v>161.32441136201473</v>
      </c>
      <c r="H12" s="245"/>
      <c r="I12" s="70"/>
      <c r="J12" s="70"/>
      <c r="K12" s="70"/>
      <c r="L12" s="70"/>
      <c r="M12" s="70"/>
      <c r="N12" s="70"/>
      <c r="O12" s="70"/>
      <c r="P12" s="70"/>
      <c r="Q12" s="70"/>
      <c r="R12" s="70"/>
      <c r="S12" s="70"/>
      <c r="T12" s="70"/>
      <c r="U12" s="70"/>
      <c r="V12" s="70"/>
      <c r="W12" s="70"/>
      <c r="X12" s="70"/>
      <c r="Y12" s="70"/>
      <c r="Z12" s="70"/>
    </row>
  </sheetData>
  <pageMargins left="0.7" right="0.7" top="0.75" bottom="0.75" header="0" footer="0"/>
  <pageSetup orientation="landscape"/>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2A5DB0"/>
  </sheetPr>
  <dimension ref="A1:Z7"/>
  <sheetViews>
    <sheetView workbookViewId="0">
      <pane ySplit="1" topLeftCell="A2" activePane="bottomLeft" state="frozen"/>
      <selection pane="bottomLeft"/>
    </sheetView>
  </sheetViews>
  <sheetFormatPr defaultColWidth="14.44140625" defaultRowHeight="15.75" customHeight="1" x14ac:dyDescent="0.25"/>
  <cols>
    <col min="1" max="1" width="30.6640625" customWidth="1"/>
    <col min="2" max="2" width="31.33203125" customWidth="1"/>
    <col min="3" max="3" width="28.6640625" customWidth="1"/>
    <col min="4" max="5" width="22.5546875" customWidth="1"/>
    <col min="6" max="26" width="15.6640625" customWidth="1"/>
  </cols>
  <sheetData>
    <row r="1" spans="1:26" ht="34.5" customHeight="1" x14ac:dyDescent="0.25">
      <c r="A1" s="46" t="s">
        <v>1815</v>
      </c>
      <c r="B1" s="47" t="s">
        <v>10</v>
      </c>
      <c r="C1" s="47" t="s">
        <v>11</v>
      </c>
      <c r="D1" s="60" t="s">
        <v>1680</v>
      </c>
      <c r="E1" s="155" t="s">
        <v>1681</v>
      </c>
      <c r="F1" s="47" t="s">
        <v>1682</v>
      </c>
      <c r="G1" s="48" t="s">
        <v>1683</v>
      </c>
      <c r="H1" s="244"/>
      <c r="I1" s="244"/>
      <c r="J1" s="244"/>
      <c r="K1" s="244"/>
      <c r="L1" s="244"/>
      <c r="M1" s="244"/>
      <c r="N1" s="244"/>
      <c r="O1" s="244"/>
      <c r="P1" s="244"/>
      <c r="Q1" s="244"/>
      <c r="R1" s="244"/>
      <c r="S1" s="244"/>
      <c r="T1" s="244"/>
      <c r="U1" s="244"/>
      <c r="V1" s="244"/>
      <c r="W1" s="244"/>
      <c r="X1" s="244"/>
      <c r="Y1" s="244"/>
      <c r="Z1" s="244"/>
    </row>
    <row r="2" spans="1:26" ht="28.5" customHeight="1" x14ac:dyDescent="0.3">
      <c r="A2" s="11" t="s">
        <v>1816</v>
      </c>
      <c r="B2" s="11" t="s">
        <v>1817</v>
      </c>
      <c r="C2" s="32" t="s">
        <v>221</v>
      </c>
      <c r="D2" s="51">
        <v>516.70000000000005</v>
      </c>
      <c r="E2" s="51">
        <v>587</v>
      </c>
      <c r="F2" s="51">
        <f t="shared" ref="F2:F7" si="0">D2-E2</f>
        <v>-70.299999999999955</v>
      </c>
      <c r="G2" s="51">
        <f t="shared" ref="G2:G7" si="1">(F2/E2)*100</f>
        <v>-11.976149914821118</v>
      </c>
      <c r="H2" s="245"/>
      <c r="I2" s="70"/>
      <c r="J2" s="70"/>
      <c r="K2" s="70"/>
      <c r="L2" s="70"/>
      <c r="M2" s="70"/>
      <c r="N2" s="70"/>
      <c r="O2" s="70"/>
      <c r="P2" s="70"/>
      <c r="Q2" s="70"/>
      <c r="R2" s="70"/>
      <c r="S2" s="70"/>
      <c r="T2" s="70"/>
      <c r="U2" s="70"/>
      <c r="V2" s="70"/>
      <c r="W2" s="70"/>
      <c r="X2" s="70"/>
      <c r="Y2" s="70"/>
      <c r="Z2" s="70"/>
    </row>
    <row r="3" spans="1:26" ht="28.5" customHeight="1" x14ac:dyDescent="0.3">
      <c r="A3" s="11" t="s">
        <v>1635</v>
      </c>
      <c r="B3" s="11" t="s">
        <v>1636</v>
      </c>
      <c r="C3" s="32" t="s">
        <v>221</v>
      </c>
      <c r="D3" s="51">
        <v>483.3</v>
      </c>
      <c r="E3" s="51">
        <v>415.6</v>
      </c>
      <c r="F3" s="51">
        <f t="shared" si="0"/>
        <v>67.699999999999989</v>
      </c>
      <c r="G3" s="51">
        <f t="shared" si="1"/>
        <v>16.289701636188639</v>
      </c>
      <c r="H3" s="245"/>
      <c r="I3" s="70"/>
      <c r="J3" s="70"/>
      <c r="K3" s="70"/>
      <c r="L3" s="70"/>
      <c r="M3" s="70"/>
      <c r="N3" s="70"/>
      <c r="O3" s="70"/>
      <c r="P3" s="70"/>
      <c r="Q3" s="70"/>
      <c r="R3" s="70"/>
      <c r="S3" s="70"/>
      <c r="T3" s="70"/>
      <c r="U3" s="70"/>
      <c r="V3" s="70"/>
      <c r="W3" s="70"/>
      <c r="X3" s="70"/>
      <c r="Y3" s="70"/>
      <c r="Z3" s="70"/>
    </row>
    <row r="4" spans="1:26" ht="28.5" customHeight="1" x14ac:dyDescent="0.3">
      <c r="A4" s="11" t="s">
        <v>1637</v>
      </c>
      <c r="B4" s="11" t="s">
        <v>1638</v>
      </c>
      <c r="C4" s="32" t="s">
        <v>221</v>
      </c>
      <c r="D4" s="51">
        <v>293.10000000000002</v>
      </c>
      <c r="E4" s="51">
        <v>225.3</v>
      </c>
      <c r="F4" s="51">
        <f t="shared" si="0"/>
        <v>67.800000000000011</v>
      </c>
      <c r="G4" s="51">
        <f t="shared" si="1"/>
        <v>30.093209054593878</v>
      </c>
      <c r="H4" s="245"/>
      <c r="I4" s="70"/>
      <c r="J4" s="70"/>
      <c r="K4" s="70"/>
      <c r="L4" s="70"/>
      <c r="M4" s="70"/>
      <c r="N4" s="70"/>
      <c r="O4" s="70"/>
      <c r="P4" s="70"/>
      <c r="Q4" s="70"/>
      <c r="R4" s="70"/>
      <c r="S4" s="70"/>
      <c r="T4" s="70"/>
      <c r="U4" s="70"/>
      <c r="V4" s="70"/>
      <c r="W4" s="70"/>
      <c r="X4" s="70"/>
      <c r="Y4" s="70"/>
      <c r="Z4" s="70"/>
    </row>
    <row r="5" spans="1:26" ht="28.5" customHeight="1" x14ac:dyDescent="0.3">
      <c r="A5" s="11" t="s">
        <v>1639</v>
      </c>
      <c r="B5" s="11" t="s">
        <v>1640</v>
      </c>
      <c r="C5" s="11" t="s">
        <v>49</v>
      </c>
      <c r="D5" s="51">
        <v>122.9</v>
      </c>
      <c r="E5" s="51">
        <v>113.7</v>
      </c>
      <c r="F5" s="51">
        <f t="shared" si="0"/>
        <v>9.2000000000000028</v>
      </c>
      <c r="G5" s="51">
        <f t="shared" si="1"/>
        <v>8.0914687774846108</v>
      </c>
      <c r="H5" s="245"/>
      <c r="I5" s="70"/>
      <c r="J5" s="70"/>
      <c r="K5" s="70"/>
      <c r="L5" s="70"/>
      <c r="M5" s="70"/>
      <c r="N5" s="70"/>
      <c r="O5" s="70"/>
      <c r="P5" s="70"/>
      <c r="Q5" s="70"/>
      <c r="R5" s="70"/>
      <c r="S5" s="70"/>
      <c r="T5" s="70"/>
      <c r="U5" s="70"/>
      <c r="V5" s="70"/>
      <c r="W5" s="70"/>
      <c r="X5" s="70"/>
      <c r="Y5" s="70"/>
      <c r="Z5" s="70"/>
    </row>
    <row r="6" spans="1:26" ht="28.5" customHeight="1" x14ac:dyDescent="0.3">
      <c r="A6" s="11" t="s">
        <v>1641</v>
      </c>
      <c r="B6" s="11" t="s">
        <v>638</v>
      </c>
      <c r="C6" s="32" t="s">
        <v>221</v>
      </c>
      <c r="D6" s="51">
        <v>67.3</v>
      </c>
      <c r="E6" s="51">
        <v>107.2</v>
      </c>
      <c r="F6" s="51">
        <f t="shared" si="0"/>
        <v>-39.900000000000006</v>
      </c>
      <c r="G6" s="51">
        <f t="shared" si="1"/>
        <v>-37.22014925373135</v>
      </c>
      <c r="H6" s="245"/>
      <c r="I6" s="70"/>
      <c r="J6" s="70"/>
      <c r="K6" s="70"/>
      <c r="L6" s="70"/>
      <c r="M6" s="70"/>
      <c r="N6" s="70"/>
      <c r="O6" s="70"/>
      <c r="P6" s="70"/>
      <c r="Q6" s="70"/>
      <c r="R6" s="70"/>
      <c r="S6" s="70"/>
      <c r="T6" s="70"/>
      <c r="U6" s="70"/>
      <c r="V6" s="70"/>
      <c r="W6" s="70"/>
      <c r="X6" s="70"/>
      <c r="Y6" s="70"/>
      <c r="Z6" s="70"/>
    </row>
    <row r="7" spans="1:26" ht="28.5" customHeight="1" x14ac:dyDescent="0.3">
      <c r="A7" s="26" t="s">
        <v>101</v>
      </c>
      <c r="B7" s="248"/>
      <c r="C7" s="26"/>
      <c r="D7" s="19">
        <v>1483.3</v>
      </c>
      <c r="E7" s="19">
        <v>1448.8</v>
      </c>
      <c r="F7" s="19">
        <f t="shared" si="0"/>
        <v>34.5</v>
      </c>
      <c r="G7" s="19">
        <f t="shared" si="1"/>
        <v>2.3812810601877414</v>
      </c>
      <c r="H7" s="245"/>
      <c r="I7" s="70"/>
      <c r="J7" s="70"/>
      <c r="K7" s="70"/>
      <c r="L7" s="70"/>
      <c r="M7" s="70"/>
      <c r="N7" s="70"/>
      <c r="O7" s="70"/>
      <c r="P7" s="70"/>
      <c r="Q7" s="70"/>
      <c r="R7" s="70"/>
      <c r="S7" s="70"/>
      <c r="T7" s="70"/>
      <c r="U7" s="70"/>
      <c r="V7" s="70"/>
      <c r="W7" s="70"/>
      <c r="X7" s="70"/>
      <c r="Y7" s="70"/>
      <c r="Z7" s="70"/>
    </row>
  </sheetData>
  <pageMargins left="0.7" right="0.7" top="0.75" bottom="0.75" header="0" footer="0"/>
  <pageSetup orientation="landscape"/>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2A5DB0"/>
  </sheetPr>
  <dimension ref="A1:Z8"/>
  <sheetViews>
    <sheetView workbookViewId="0">
      <pane ySplit="1" topLeftCell="A2" activePane="bottomLeft" state="frozen"/>
      <selection pane="bottomLeft"/>
    </sheetView>
  </sheetViews>
  <sheetFormatPr defaultColWidth="14.44140625" defaultRowHeight="15.75" customHeight="1" x14ac:dyDescent="0.25"/>
  <cols>
    <col min="1" max="1" width="30.6640625" customWidth="1"/>
    <col min="2" max="2" width="31.33203125" customWidth="1"/>
    <col min="3" max="3" width="28.6640625" customWidth="1"/>
    <col min="4" max="4" width="21.5546875" customWidth="1"/>
    <col min="5" max="5" width="22.5546875" customWidth="1"/>
    <col min="6" max="26" width="15.6640625" customWidth="1"/>
  </cols>
  <sheetData>
    <row r="1" spans="1:26" ht="34.5" customHeight="1" x14ac:dyDescent="0.25">
      <c r="A1" s="274" t="s">
        <v>1818</v>
      </c>
      <c r="B1" s="275" t="s">
        <v>10</v>
      </c>
      <c r="C1" s="275" t="s">
        <v>11</v>
      </c>
      <c r="D1" s="276" t="s">
        <v>1680</v>
      </c>
      <c r="E1" s="277" t="s">
        <v>1681</v>
      </c>
      <c r="F1" s="275" t="s">
        <v>1682</v>
      </c>
      <c r="G1" s="278" t="s">
        <v>1683</v>
      </c>
      <c r="H1" s="244"/>
      <c r="I1" s="244"/>
      <c r="J1" s="244"/>
      <c r="K1" s="244"/>
      <c r="L1" s="244"/>
      <c r="M1" s="244"/>
      <c r="N1" s="244"/>
      <c r="O1" s="244"/>
      <c r="P1" s="244"/>
      <c r="Q1" s="244"/>
      <c r="R1" s="244"/>
      <c r="S1" s="244"/>
      <c r="T1" s="244"/>
      <c r="U1" s="244"/>
      <c r="V1" s="244"/>
      <c r="W1" s="244"/>
      <c r="X1" s="244"/>
      <c r="Y1" s="244"/>
      <c r="Z1" s="244"/>
    </row>
    <row r="2" spans="1:26" ht="28.5" customHeight="1" x14ac:dyDescent="0.3">
      <c r="A2" s="11" t="s">
        <v>1819</v>
      </c>
      <c r="B2" s="11" t="s">
        <v>1820</v>
      </c>
      <c r="C2" s="11" t="s">
        <v>221</v>
      </c>
      <c r="D2" s="51">
        <v>803</v>
      </c>
      <c r="E2" s="51">
        <v>991</v>
      </c>
      <c r="F2" s="51">
        <f t="shared" ref="F2:F8" si="0">D2-E2</f>
        <v>-188</v>
      </c>
      <c r="G2" s="51">
        <f t="shared" ref="G2:G8" si="1">(F2/E2)*100</f>
        <v>-18.970736629667005</v>
      </c>
      <c r="H2" s="245"/>
      <c r="I2" s="70"/>
      <c r="J2" s="70"/>
      <c r="K2" s="70"/>
      <c r="L2" s="70"/>
      <c r="M2" s="70"/>
      <c r="N2" s="70"/>
      <c r="O2" s="70"/>
      <c r="P2" s="70"/>
      <c r="Q2" s="70"/>
      <c r="R2" s="70"/>
      <c r="S2" s="70"/>
      <c r="T2" s="70"/>
      <c r="U2" s="70"/>
      <c r="V2" s="70"/>
      <c r="W2" s="70"/>
      <c r="X2" s="70"/>
      <c r="Y2" s="70"/>
      <c r="Z2" s="70"/>
    </row>
    <row r="3" spans="1:26" ht="28.5" customHeight="1" x14ac:dyDescent="0.3">
      <c r="A3" s="11" t="s">
        <v>1643</v>
      </c>
      <c r="B3" s="11" t="s">
        <v>1644</v>
      </c>
      <c r="C3" s="11" t="s">
        <v>221</v>
      </c>
      <c r="D3" s="51">
        <v>908</v>
      </c>
      <c r="E3" s="51">
        <v>1176</v>
      </c>
      <c r="F3" s="51">
        <f t="shared" si="0"/>
        <v>-268</v>
      </c>
      <c r="G3" s="51">
        <f t="shared" si="1"/>
        <v>-22.789115646258505</v>
      </c>
      <c r="H3" s="245"/>
      <c r="I3" s="70"/>
      <c r="J3" s="70"/>
      <c r="K3" s="70"/>
      <c r="L3" s="70"/>
      <c r="M3" s="70"/>
      <c r="N3" s="70"/>
      <c r="O3" s="70"/>
      <c r="P3" s="70"/>
      <c r="Q3" s="70"/>
      <c r="R3" s="70"/>
      <c r="S3" s="70"/>
      <c r="T3" s="70"/>
      <c r="U3" s="70"/>
      <c r="V3" s="70"/>
      <c r="W3" s="70"/>
      <c r="X3" s="70"/>
      <c r="Y3" s="70"/>
      <c r="Z3" s="70"/>
    </row>
    <row r="4" spans="1:26" ht="28.5" customHeight="1" x14ac:dyDescent="0.3">
      <c r="A4" s="11" t="s">
        <v>1645</v>
      </c>
      <c r="B4" s="11" t="s">
        <v>1646</v>
      </c>
      <c r="C4" s="11" t="s">
        <v>169</v>
      </c>
      <c r="D4" s="51">
        <v>629</v>
      </c>
      <c r="E4" s="51">
        <v>1418</v>
      </c>
      <c r="F4" s="51">
        <f t="shared" si="0"/>
        <v>-789</v>
      </c>
      <c r="G4" s="51">
        <f t="shared" si="1"/>
        <v>-55.641748942172079</v>
      </c>
      <c r="H4" s="245"/>
      <c r="I4" s="70"/>
      <c r="J4" s="70"/>
      <c r="K4" s="70"/>
      <c r="L4" s="70"/>
      <c r="M4" s="70"/>
      <c r="N4" s="70"/>
      <c r="O4" s="70"/>
      <c r="P4" s="70"/>
      <c r="Q4" s="70"/>
      <c r="R4" s="70"/>
      <c r="S4" s="70"/>
      <c r="T4" s="70"/>
      <c r="U4" s="70"/>
      <c r="V4" s="70"/>
      <c r="W4" s="70"/>
      <c r="X4" s="70"/>
      <c r="Y4" s="70"/>
      <c r="Z4" s="70"/>
    </row>
    <row r="5" spans="1:26" ht="28.5" customHeight="1" x14ac:dyDescent="0.3">
      <c r="A5" s="11" t="s">
        <v>1647</v>
      </c>
      <c r="B5" s="11" t="s">
        <v>1648</v>
      </c>
      <c r="C5" s="11" t="s">
        <v>169</v>
      </c>
      <c r="D5" s="51">
        <v>3864</v>
      </c>
      <c r="E5" s="51">
        <v>420</v>
      </c>
      <c r="F5" s="51">
        <f t="shared" si="0"/>
        <v>3444</v>
      </c>
      <c r="G5" s="51">
        <f t="shared" si="1"/>
        <v>819.99999999999989</v>
      </c>
      <c r="H5" s="245"/>
      <c r="I5" s="70"/>
      <c r="J5" s="70"/>
      <c r="K5" s="70"/>
      <c r="L5" s="70"/>
      <c r="M5" s="70"/>
      <c r="N5" s="70"/>
      <c r="O5" s="70"/>
      <c r="P5" s="70"/>
      <c r="Q5" s="70"/>
      <c r="R5" s="70"/>
      <c r="S5" s="70"/>
      <c r="T5" s="70"/>
      <c r="U5" s="70"/>
      <c r="V5" s="70"/>
      <c r="W5" s="70"/>
      <c r="X5" s="70"/>
      <c r="Y5" s="70"/>
      <c r="Z5" s="70"/>
    </row>
    <row r="6" spans="1:26" ht="28.5" customHeight="1" x14ac:dyDescent="0.3">
      <c r="A6" s="26" t="s">
        <v>372</v>
      </c>
      <c r="B6" s="26"/>
      <c r="C6" s="26"/>
      <c r="D6" s="19">
        <v>6203</v>
      </c>
      <c r="E6" s="19">
        <v>4160.7</v>
      </c>
      <c r="F6" s="19">
        <f t="shared" si="0"/>
        <v>2042.3000000000002</v>
      </c>
      <c r="G6" s="19">
        <f t="shared" si="1"/>
        <v>49.085490422284714</v>
      </c>
      <c r="H6" s="245"/>
      <c r="I6" s="70"/>
      <c r="J6" s="70"/>
      <c r="K6" s="70"/>
      <c r="L6" s="70"/>
      <c r="M6" s="70"/>
      <c r="N6" s="70"/>
      <c r="O6" s="70"/>
      <c r="P6" s="70"/>
      <c r="Q6" s="70"/>
      <c r="R6" s="70"/>
      <c r="S6" s="70"/>
      <c r="T6" s="70"/>
      <c r="U6" s="70"/>
      <c r="V6" s="70"/>
      <c r="W6" s="70"/>
      <c r="X6" s="70"/>
      <c r="Y6" s="70"/>
      <c r="Z6" s="70"/>
    </row>
    <row r="7" spans="1:26" ht="28.5" customHeight="1" x14ac:dyDescent="0.3">
      <c r="A7" s="11" t="s">
        <v>1649</v>
      </c>
      <c r="B7" s="11"/>
      <c r="C7" s="11"/>
      <c r="D7" s="51">
        <v>2.9</v>
      </c>
      <c r="E7" s="51">
        <v>2.0950000000000002</v>
      </c>
      <c r="F7" s="51">
        <f t="shared" si="0"/>
        <v>0.80499999999999972</v>
      </c>
      <c r="G7" s="51">
        <f t="shared" si="1"/>
        <v>38.424821002386615</v>
      </c>
      <c r="H7" s="245"/>
      <c r="I7" s="70"/>
      <c r="J7" s="70"/>
      <c r="K7" s="70"/>
      <c r="L7" s="70"/>
      <c r="M7" s="70"/>
      <c r="N7" s="70"/>
      <c r="O7" s="70"/>
      <c r="P7" s="70"/>
      <c r="Q7" s="70"/>
      <c r="R7" s="70"/>
      <c r="S7" s="70"/>
      <c r="T7" s="70"/>
      <c r="U7" s="70"/>
      <c r="V7" s="70"/>
      <c r="W7" s="70"/>
      <c r="X7" s="70"/>
      <c r="Y7" s="70"/>
      <c r="Z7" s="70"/>
    </row>
    <row r="8" spans="1:26" ht="28.5" customHeight="1" x14ac:dyDescent="0.3">
      <c r="A8" s="26" t="s">
        <v>38</v>
      </c>
      <c r="B8" s="248"/>
      <c r="C8" s="26"/>
      <c r="D8" s="19">
        <v>6205.683</v>
      </c>
      <c r="E8" s="19">
        <v>4162.8209999999999</v>
      </c>
      <c r="F8" s="19">
        <f t="shared" si="0"/>
        <v>2042.8620000000001</v>
      </c>
      <c r="G8" s="19">
        <f t="shared" si="1"/>
        <v>49.073981321800773</v>
      </c>
      <c r="H8" s="245"/>
      <c r="I8" s="70"/>
      <c r="J8" s="70"/>
      <c r="K8" s="70"/>
      <c r="L8" s="70"/>
      <c r="M8" s="70"/>
      <c r="N8" s="70"/>
      <c r="O8" s="70"/>
      <c r="P8" s="70"/>
      <c r="Q8" s="70"/>
      <c r="R8" s="70"/>
      <c r="S8" s="70"/>
      <c r="T8" s="70"/>
      <c r="U8" s="70"/>
      <c r="V8" s="70"/>
      <c r="W8" s="70"/>
      <c r="X8" s="70"/>
      <c r="Y8" s="70"/>
      <c r="Z8" s="70"/>
    </row>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A5DB0"/>
  </sheetPr>
  <dimension ref="A1:Z8"/>
  <sheetViews>
    <sheetView workbookViewId="0">
      <pane ySplit="1" topLeftCell="A2" activePane="bottomLeft" state="frozen"/>
      <selection pane="bottomLeft"/>
    </sheetView>
  </sheetViews>
  <sheetFormatPr defaultColWidth="14.44140625" defaultRowHeight="15.75" customHeight="1" x14ac:dyDescent="0.25"/>
  <cols>
    <col min="1" max="1" width="28" customWidth="1"/>
    <col min="2" max="3" width="27.109375" customWidth="1"/>
    <col min="4" max="4" width="26.109375" customWidth="1"/>
    <col min="5" max="5" width="23.33203125" customWidth="1"/>
    <col min="6" max="7" width="15.6640625" customWidth="1"/>
    <col min="8" max="26" width="20.6640625" customWidth="1"/>
  </cols>
  <sheetData>
    <row r="1" spans="1:26" ht="34.5" customHeight="1" x14ac:dyDescent="0.25">
      <c r="A1" s="46" t="s">
        <v>1692</v>
      </c>
      <c r="B1" s="47" t="s">
        <v>10</v>
      </c>
      <c r="C1" s="47" t="s">
        <v>11</v>
      </c>
      <c r="D1" s="9" t="s">
        <v>1687</v>
      </c>
      <c r="E1" s="48" t="s">
        <v>1688</v>
      </c>
      <c r="F1" s="48" t="s">
        <v>1682</v>
      </c>
      <c r="G1" s="48" t="s">
        <v>1683</v>
      </c>
      <c r="H1" s="18"/>
      <c r="I1" s="18"/>
      <c r="J1" s="18"/>
      <c r="K1" s="18"/>
      <c r="L1" s="18"/>
      <c r="M1" s="18"/>
      <c r="N1" s="18"/>
      <c r="O1" s="18"/>
      <c r="P1" s="18"/>
      <c r="Q1" s="18"/>
      <c r="R1" s="18"/>
      <c r="S1" s="18"/>
      <c r="T1" s="18"/>
      <c r="U1" s="18"/>
      <c r="V1" s="18"/>
      <c r="W1" s="18"/>
      <c r="X1" s="18"/>
      <c r="Y1" s="18"/>
      <c r="Z1" s="18"/>
    </row>
    <row r="2" spans="1:26" ht="28.5" customHeight="1" x14ac:dyDescent="0.25">
      <c r="A2" s="11" t="s">
        <v>1693</v>
      </c>
      <c r="B2" s="11" t="s">
        <v>1694</v>
      </c>
      <c r="C2" s="49" t="s">
        <v>113</v>
      </c>
      <c r="D2" s="50">
        <v>4064.2</v>
      </c>
      <c r="E2" s="50">
        <v>3946.4</v>
      </c>
      <c r="F2" s="51">
        <f t="shared" ref="F2:F8" si="0">D2-E2</f>
        <v>117.79999999999973</v>
      </c>
      <c r="G2" s="51">
        <f t="shared" ref="G2:G4" si="1">(F2/E2)*100</f>
        <v>2.9849989864179944</v>
      </c>
      <c r="H2" s="52"/>
      <c r="I2" s="18"/>
      <c r="J2" s="18"/>
      <c r="K2" s="18"/>
      <c r="L2" s="18"/>
      <c r="M2" s="18"/>
      <c r="N2" s="18"/>
      <c r="O2" s="18"/>
      <c r="P2" s="18"/>
      <c r="Q2" s="18"/>
      <c r="R2" s="18"/>
      <c r="S2" s="18"/>
      <c r="T2" s="18"/>
      <c r="U2" s="18"/>
      <c r="V2" s="18"/>
      <c r="W2" s="18"/>
      <c r="X2" s="18"/>
      <c r="Y2" s="18"/>
      <c r="Z2" s="18"/>
    </row>
    <row r="3" spans="1:26" ht="28.5" customHeight="1" x14ac:dyDescent="0.25">
      <c r="A3" s="11" t="s">
        <v>111</v>
      </c>
      <c r="B3" s="11" t="s">
        <v>112</v>
      </c>
      <c r="C3" s="49" t="s">
        <v>113</v>
      </c>
      <c r="D3" s="50">
        <v>1076.7</v>
      </c>
      <c r="E3" s="50">
        <v>338.9</v>
      </c>
      <c r="F3" s="51">
        <f t="shared" si="0"/>
        <v>737.80000000000007</v>
      </c>
      <c r="G3" s="51">
        <f t="shared" si="1"/>
        <v>217.70433756270288</v>
      </c>
      <c r="H3" s="52"/>
      <c r="I3" s="18"/>
      <c r="J3" s="18"/>
      <c r="K3" s="18"/>
      <c r="L3" s="18"/>
      <c r="M3" s="18"/>
      <c r="N3" s="18"/>
      <c r="O3" s="18"/>
      <c r="P3" s="18"/>
      <c r="Q3" s="18"/>
      <c r="R3" s="18"/>
      <c r="S3" s="18"/>
      <c r="T3" s="18"/>
      <c r="U3" s="18"/>
      <c r="V3" s="18"/>
      <c r="W3" s="18"/>
      <c r="X3" s="18"/>
      <c r="Y3" s="18"/>
      <c r="Z3" s="18"/>
    </row>
    <row r="4" spans="1:26" ht="28.5" customHeight="1" x14ac:dyDescent="0.25">
      <c r="A4" s="11" t="s">
        <v>114</v>
      </c>
      <c r="B4" s="11" t="s">
        <v>115</v>
      </c>
      <c r="C4" s="11" t="s">
        <v>116</v>
      </c>
      <c r="D4" s="51">
        <v>731.8</v>
      </c>
      <c r="E4" s="51">
        <v>592.5</v>
      </c>
      <c r="F4" s="51">
        <f t="shared" si="0"/>
        <v>139.29999999999995</v>
      </c>
      <c r="G4" s="51">
        <f t="shared" si="1"/>
        <v>23.510548523206744</v>
      </c>
      <c r="H4" s="18"/>
      <c r="I4" s="18"/>
      <c r="J4" s="18"/>
      <c r="K4" s="18"/>
      <c r="L4" s="18"/>
      <c r="M4" s="18"/>
      <c r="N4" s="18"/>
      <c r="O4" s="18"/>
      <c r="P4" s="18"/>
      <c r="Q4" s="18"/>
      <c r="R4" s="18"/>
      <c r="S4" s="18"/>
      <c r="T4" s="18"/>
      <c r="U4" s="18"/>
      <c r="V4" s="18"/>
      <c r="W4" s="18"/>
      <c r="X4" s="18"/>
      <c r="Y4" s="18"/>
      <c r="Z4" s="18"/>
    </row>
    <row r="5" spans="1:26" ht="28.5" customHeight="1" x14ac:dyDescent="0.25">
      <c r="A5" s="11" t="s">
        <v>117</v>
      </c>
      <c r="B5" s="11" t="s">
        <v>118</v>
      </c>
      <c r="C5" s="11" t="s">
        <v>113</v>
      </c>
      <c r="D5" s="51">
        <v>78.5</v>
      </c>
      <c r="E5" s="51">
        <v>0</v>
      </c>
      <c r="F5" s="51">
        <f t="shared" si="0"/>
        <v>78.5</v>
      </c>
      <c r="G5" s="51" t="s">
        <v>67</v>
      </c>
      <c r="H5" s="18"/>
      <c r="I5" s="18"/>
      <c r="J5" s="18"/>
      <c r="K5" s="18"/>
      <c r="L5" s="18"/>
      <c r="M5" s="18"/>
      <c r="N5" s="18"/>
      <c r="O5" s="18"/>
      <c r="P5" s="18"/>
      <c r="Q5" s="18"/>
      <c r="R5" s="18"/>
      <c r="S5" s="18"/>
      <c r="T5" s="18"/>
      <c r="U5" s="18"/>
      <c r="V5" s="18"/>
      <c r="W5" s="18"/>
      <c r="X5" s="18"/>
      <c r="Y5" s="18"/>
      <c r="Z5" s="18"/>
    </row>
    <row r="6" spans="1:26" ht="28.5" customHeight="1" x14ac:dyDescent="0.25">
      <c r="A6" s="11" t="s">
        <v>119</v>
      </c>
      <c r="B6" s="11" t="s">
        <v>120</v>
      </c>
      <c r="C6" s="11" t="s">
        <v>116</v>
      </c>
      <c r="D6" s="51">
        <v>117.9</v>
      </c>
      <c r="E6" s="51">
        <v>112.2</v>
      </c>
      <c r="F6" s="51">
        <f t="shared" si="0"/>
        <v>5.7000000000000028</v>
      </c>
      <c r="G6" s="51">
        <f t="shared" ref="G6:G8" si="2">(F6/E6)*100</f>
        <v>5.080213903743318</v>
      </c>
      <c r="H6" s="18"/>
      <c r="I6" s="18"/>
      <c r="J6" s="18"/>
      <c r="K6" s="18"/>
      <c r="L6" s="18"/>
      <c r="M6" s="18"/>
      <c r="N6" s="18"/>
      <c r="O6" s="18"/>
      <c r="P6" s="18"/>
      <c r="Q6" s="18"/>
      <c r="R6" s="18"/>
      <c r="S6" s="18"/>
      <c r="T6" s="18"/>
      <c r="U6" s="18"/>
      <c r="V6" s="18"/>
      <c r="W6" s="18"/>
      <c r="X6" s="18"/>
      <c r="Y6" s="18"/>
      <c r="Z6" s="18"/>
    </row>
    <row r="7" spans="1:26" ht="28.5" customHeight="1" x14ac:dyDescent="0.25">
      <c r="A7" s="11" t="s">
        <v>121</v>
      </c>
      <c r="B7" s="53"/>
      <c r="C7" s="53"/>
      <c r="D7" s="51">
        <v>0.8</v>
      </c>
      <c r="E7" s="51">
        <v>1.1000000000000001</v>
      </c>
      <c r="F7" s="51">
        <f t="shared" si="0"/>
        <v>-0.30000000000000004</v>
      </c>
      <c r="G7" s="51">
        <f t="shared" si="2"/>
        <v>-27.272727272727277</v>
      </c>
      <c r="H7" s="18"/>
      <c r="I7" s="54"/>
      <c r="J7" s="54"/>
      <c r="K7" s="54"/>
      <c r="L7" s="54"/>
      <c r="M7" s="54"/>
      <c r="N7" s="54"/>
      <c r="O7" s="54"/>
      <c r="P7" s="54"/>
      <c r="Q7" s="54"/>
      <c r="R7" s="54"/>
      <c r="S7" s="54"/>
      <c r="T7" s="54"/>
      <c r="U7" s="54"/>
      <c r="V7" s="54"/>
      <c r="W7" s="54"/>
      <c r="X7" s="54"/>
      <c r="Y7" s="54"/>
      <c r="Z7" s="54"/>
    </row>
    <row r="8" spans="1:26" ht="28.5" customHeight="1" x14ac:dyDescent="0.25">
      <c r="A8" s="26" t="s">
        <v>122</v>
      </c>
      <c r="B8" s="26"/>
      <c r="C8" s="26"/>
      <c r="D8" s="19">
        <v>6069.9</v>
      </c>
      <c r="E8" s="19">
        <v>4991.1000000000004</v>
      </c>
      <c r="F8" s="19">
        <f t="shared" si="0"/>
        <v>1078.7999999999993</v>
      </c>
      <c r="G8" s="19">
        <f t="shared" si="2"/>
        <v>21.614473763298655</v>
      </c>
      <c r="H8" s="18"/>
      <c r="I8" s="54"/>
      <c r="J8" s="54"/>
      <c r="K8" s="54"/>
      <c r="L8" s="54"/>
      <c r="M8" s="54"/>
      <c r="N8" s="54"/>
      <c r="O8" s="54"/>
      <c r="P8" s="54"/>
      <c r="Q8" s="54"/>
      <c r="R8" s="54"/>
      <c r="S8" s="54"/>
      <c r="T8" s="54"/>
      <c r="U8" s="54"/>
      <c r="V8" s="54"/>
      <c r="W8" s="54"/>
      <c r="X8" s="54"/>
      <c r="Y8" s="54"/>
      <c r="Z8" s="54"/>
    </row>
  </sheetData>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A5DB0"/>
    <outlinePr summaryBelow="0" summaryRight="0"/>
  </sheetPr>
  <dimension ref="A1:M12"/>
  <sheetViews>
    <sheetView workbookViewId="0">
      <pane ySplit="1" topLeftCell="A2" activePane="bottomLeft" state="frozen"/>
      <selection pane="bottomLeft"/>
    </sheetView>
  </sheetViews>
  <sheetFormatPr defaultColWidth="14.44140625" defaultRowHeight="15.75" customHeight="1" x14ac:dyDescent="0.25"/>
  <cols>
    <col min="1" max="1" width="28.6640625" customWidth="1"/>
    <col min="2" max="2" width="14.44140625" customWidth="1"/>
    <col min="3" max="3" width="21.77734375" customWidth="1"/>
    <col min="4" max="4" width="14.44140625" customWidth="1"/>
    <col min="5" max="5" width="11" customWidth="1"/>
    <col min="6" max="6" width="14.44140625" customWidth="1"/>
    <col min="9" max="9" width="11.33203125" customWidth="1"/>
  </cols>
  <sheetData>
    <row r="1" spans="1:13" ht="31.8" x14ac:dyDescent="0.25">
      <c r="A1" s="55" t="s">
        <v>1695</v>
      </c>
      <c r="B1" s="8" t="s">
        <v>10</v>
      </c>
      <c r="C1" s="8" t="s">
        <v>11</v>
      </c>
      <c r="D1" s="9" t="s">
        <v>1678</v>
      </c>
      <c r="E1" s="9" t="s">
        <v>1696</v>
      </c>
      <c r="F1" s="9" t="s">
        <v>1686</v>
      </c>
      <c r="G1" s="9" t="s">
        <v>1687</v>
      </c>
      <c r="H1" s="9" t="s">
        <v>1678</v>
      </c>
      <c r="I1" s="9" t="s">
        <v>1696</v>
      </c>
      <c r="J1" s="9" t="s">
        <v>1686</v>
      </c>
      <c r="K1" s="9" t="s">
        <v>1688</v>
      </c>
      <c r="L1" s="8" t="s">
        <v>1682</v>
      </c>
      <c r="M1" s="9" t="s">
        <v>1683</v>
      </c>
    </row>
    <row r="2" spans="1:13" ht="30" customHeight="1" x14ac:dyDescent="0.25">
      <c r="A2" s="32" t="s">
        <v>1697</v>
      </c>
      <c r="B2" s="32" t="s">
        <v>1698</v>
      </c>
      <c r="C2" s="32" t="s">
        <v>169</v>
      </c>
      <c r="D2" s="33">
        <v>151.57400000000001</v>
      </c>
      <c r="E2" s="33">
        <v>107.755</v>
      </c>
      <c r="F2" s="33">
        <v>46.752000000000002</v>
      </c>
      <c r="G2" s="33">
        <v>306.08100000000002</v>
      </c>
      <c r="H2" s="33">
        <v>116.30200000000001</v>
      </c>
      <c r="I2" s="33">
        <v>43.98</v>
      </c>
      <c r="J2" s="33">
        <v>6.1050000000000004</v>
      </c>
      <c r="K2" s="33">
        <v>166.387</v>
      </c>
      <c r="L2" s="33">
        <f t="shared" ref="L2:L12" si="0">G2-K2</f>
        <v>139.69400000000002</v>
      </c>
      <c r="M2" s="33">
        <f t="shared" ref="M2:M3" si="1">(L2/K2)*100</f>
        <v>83.95728031637087</v>
      </c>
    </row>
    <row r="3" spans="1:13" ht="30" customHeight="1" x14ac:dyDescent="0.25">
      <c r="A3" s="32" t="s">
        <v>167</v>
      </c>
      <c r="B3" s="32" t="s">
        <v>168</v>
      </c>
      <c r="C3" s="32" t="s">
        <v>169</v>
      </c>
      <c r="D3" s="33">
        <v>42.796999999999997</v>
      </c>
      <c r="E3" s="33">
        <v>12</v>
      </c>
      <c r="F3" s="56">
        <v>0.309</v>
      </c>
      <c r="G3" s="33">
        <v>55.106000000000002</v>
      </c>
      <c r="H3" s="56">
        <v>0.15</v>
      </c>
      <c r="I3" s="33">
        <v>0</v>
      </c>
      <c r="J3" s="33">
        <v>0</v>
      </c>
      <c r="K3" s="56">
        <v>0.15</v>
      </c>
      <c r="L3" s="33">
        <f t="shared" si="0"/>
        <v>54.956000000000003</v>
      </c>
      <c r="M3" s="33">
        <f t="shared" si="1"/>
        <v>36637.333333333336</v>
      </c>
    </row>
    <row r="4" spans="1:13" ht="30" customHeight="1" x14ac:dyDescent="0.25">
      <c r="A4" s="32" t="s">
        <v>170</v>
      </c>
      <c r="B4" s="32" t="s">
        <v>171</v>
      </c>
      <c r="C4" s="32" t="s">
        <v>169</v>
      </c>
      <c r="D4" s="56">
        <v>0.33300000000000002</v>
      </c>
      <c r="E4" s="33">
        <v>0</v>
      </c>
      <c r="F4" s="33">
        <v>0</v>
      </c>
      <c r="G4" s="56">
        <v>0.33300000000000002</v>
      </c>
      <c r="H4" s="33">
        <v>0</v>
      </c>
      <c r="I4" s="33">
        <v>0</v>
      </c>
      <c r="J4" s="33">
        <v>0</v>
      </c>
      <c r="K4" s="33">
        <v>0</v>
      </c>
      <c r="L4" s="33">
        <f t="shared" si="0"/>
        <v>0.33300000000000002</v>
      </c>
      <c r="M4" s="25" t="s">
        <v>67</v>
      </c>
    </row>
    <row r="5" spans="1:13" ht="30" customHeight="1" x14ac:dyDescent="0.25">
      <c r="A5" s="30" t="s">
        <v>172</v>
      </c>
      <c r="B5" s="30"/>
      <c r="C5" s="30"/>
      <c r="D5" s="22">
        <f t="shared" ref="D5:F5" si="2">D2+D3+D4</f>
        <v>194.70400000000001</v>
      </c>
      <c r="E5" s="22">
        <f t="shared" si="2"/>
        <v>119.755</v>
      </c>
      <c r="F5" s="22">
        <f t="shared" si="2"/>
        <v>47.061</v>
      </c>
      <c r="G5" s="22">
        <v>361.52</v>
      </c>
      <c r="H5" s="22">
        <f t="shared" ref="H5:J5" si="3">H2+H3+H4</f>
        <v>116.45200000000001</v>
      </c>
      <c r="I5" s="22">
        <f t="shared" si="3"/>
        <v>43.98</v>
      </c>
      <c r="J5" s="22">
        <f t="shared" si="3"/>
        <v>6.1050000000000004</v>
      </c>
      <c r="K5" s="22">
        <v>166.53700000000001</v>
      </c>
      <c r="L5" s="22">
        <f t="shared" si="0"/>
        <v>194.98299999999998</v>
      </c>
      <c r="M5" s="22">
        <f t="shared" ref="M5:M12" si="4">(L5/K5)*100</f>
        <v>117.08088893158876</v>
      </c>
    </row>
    <row r="6" spans="1:13" ht="30" customHeight="1" x14ac:dyDescent="0.25">
      <c r="A6" s="32" t="s">
        <v>173</v>
      </c>
      <c r="B6" s="32"/>
      <c r="C6" s="32"/>
      <c r="D6" s="33"/>
      <c r="E6" s="33"/>
      <c r="F6" s="33"/>
      <c r="G6" s="33">
        <v>74.701999999999998</v>
      </c>
      <c r="H6" s="33"/>
      <c r="I6" s="33"/>
      <c r="J6" s="33"/>
      <c r="K6" s="33">
        <v>26.074999999999999</v>
      </c>
      <c r="L6" s="33">
        <f t="shared" si="0"/>
        <v>48.626999999999995</v>
      </c>
      <c r="M6" s="33">
        <f t="shared" si="4"/>
        <v>186.48897411313516</v>
      </c>
    </row>
    <row r="7" spans="1:13" ht="30" customHeight="1" x14ac:dyDescent="0.25">
      <c r="A7" s="32" t="s">
        <v>174</v>
      </c>
      <c r="B7" s="32"/>
      <c r="C7" s="32"/>
      <c r="D7" s="33"/>
      <c r="E7" s="33"/>
      <c r="F7" s="33"/>
      <c r="G7" s="33">
        <v>31.396000000000001</v>
      </c>
      <c r="H7" s="33"/>
      <c r="I7" s="33"/>
      <c r="J7" s="33"/>
      <c r="K7" s="33">
        <v>12.808999999999999</v>
      </c>
      <c r="L7" s="33">
        <f t="shared" si="0"/>
        <v>18.587000000000003</v>
      </c>
      <c r="M7" s="33">
        <f t="shared" si="4"/>
        <v>145.10890779920371</v>
      </c>
    </row>
    <row r="8" spans="1:13" ht="30" customHeight="1" x14ac:dyDescent="0.25">
      <c r="A8" s="32" t="s">
        <v>175</v>
      </c>
      <c r="B8" s="32"/>
      <c r="C8" s="32"/>
      <c r="D8" s="33"/>
      <c r="E8" s="33"/>
      <c r="F8" s="33"/>
      <c r="G8" s="33">
        <v>22.207999999999998</v>
      </c>
      <c r="H8" s="33"/>
      <c r="I8" s="33"/>
      <c r="J8" s="33"/>
      <c r="K8" s="33">
        <v>2.3149999999999999</v>
      </c>
      <c r="L8" s="33">
        <f t="shared" si="0"/>
        <v>19.892999999999997</v>
      </c>
      <c r="M8" s="33">
        <f t="shared" si="4"/>
        <v>859.30885529157661</v>
      </c>
    </row>
    <row r="9" spans="1:13" ht="30" customHeight="1" x14ac:dyDescent="0.25">
      <c r="A9" s="32" t="s">
        <v>176</v>
      </c>
      <c r="B9" s="32"/>
      <c r="C9" s="32"/>
      <c r="D9" s="33"/>
      <c r="E9" s="33"/>
      <c r="F9" s="33"/>
      <c r="G9" s="33">
        <v>0.995</v>
      </c>
      <c r="H9" s="33"/>
      <c r="I9" s="33"/>
      <c r="J9" s="33"/>
      <c r="K9" s="33">
        <v>10.976000000000001</v>
      </c>
      <c r="L9" s="33">
        <f t="shared" si="0"/>
        <v>-9.9810000000000016</v>
      </c>
      <c r="M9" s="33">
        <f t="shared" si="4"/>
        <v>-90.934766763848401</v>
      </c>
    </row>
    <row r="10" spans="1:13" ht="30" customHeight="1" x14ac:dyDescent="0.25">
      <c r="A10" s="32" t="s">
        <v>177</v>
      </c>
      <c r="B10" s="32"/>
      <c r="C10" s="32"/>
      <c r="D10" s="33"/>
      <c r="E10" s="33"/>
      <c r="F10" s="33"/>
      <c r="G10" s="33">
        <v>2.6619999999999999</v>
      </c>
      <c r="H10" s="33"/>
      <c r="I10" s="33"/>
      <c r="J10" s="33"/>
      <c r="K10" s="33">
        <v>1.038</v>
      </c>
      <c r="L10" s="33">
        <f t="shared" si="0"/>
        <v>1.6239999999999999</v>
      </c>
      <c r="M10" s="33">
        <f t="shared" si="4"/>
        <v>156.45472061657031</v>
      </c>
    </row>
    <row r="11" spans="1:13" ht="30" customHeight="1" x14ac:dyDescent="0.25">
      <c r="A11" s="30" t="s">
        <v>178</v>
      </c>
      <c r="B11" s="30"/>
      <c r="C11" s="30"/>
      <c r="D11" s="22"/>
      <c r="E11" s="22"/>
      <c r="F11" s="22"/>
      <c r="G11" s="22">
        <v>131.333</v>
      </c>
      <c r="H11" s="22"/>
      <c r="I11" s="22"/>
      <c r="J11" s="22"/>
      <c r="K11" s="22">
        <v>53.213000000000001</v>
      </c>
      <c r="L11" s="22">
        <f t="shared" si="0"/>
        <v>78.12</v>
      </c>
      <c r="M11" s="22">
        <f t="shared" si="4"/>
        <v>146.80623155995715</v>
      </c>
    </row>
    <row r="12" spans="1:13" ht="30" customHeight="1" x14ac:dyDescent="0.25">
      <c r="A12" s="30" t="s">
        <v>101</v>
      </c>
      <c r="B12" s="30"/>
      <c r="C12" s="30"/>
      <c r="D12" s="22"/>
      <c r="E12" s="22"/>
      <c r="F12" s="22"/>
      <c r="G12" s="22">
        <v>492.85300000000001</v>
      </c>
      <c r="H12" s="22"/>
      <c r="I12" s="22"/>
      <c r="J12" s="22"/>
      <c r="K12" s="22">
        <v>219.75</v>
      </c>
      <c r="L12" s="22">
        <f t="shared" si="0"/>
        <v>273.10300000000001</v>
      </c>
      <c r="M12" s="22">
        <f t="shared" si="4"/>
        <v>124.27895335608648</v>
      </c>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A5DB0"/>
  </sheetPr>
  <dimension ref="A1:Z25"/>
  <sheetViews>
    <sheetView workbookViewId="0">
      <pane ySplit="1" topLeftCell="A2" activePane="bottomLeft" state="frozen"/>
      <selection pane="bottomLeft"/>
    </sheetView>
  </sheetViews>
  <sheetFormatPr defaultColWidth="14.44140625" defaultRowHeight="15.75" customHeight="1" x14ac:dyDescent="0.25"/>
  <cols>
    <col min="1" max="1" width="28.33203125" customWidth="1"/>
    <col min="2" max="2" width="18.88671875" customWidth="1"/>
    <col min="3" max="3" width="30.6640625" customWidth="1"/>
    <col min="4" max="4" width="14.5546875" customWidth="1"/>
    <col min="5" max="5" width="19.44140625" customWidth="1"/>
    <col min="6" max="6" width="14.6640625" customWidth="1"/>
    <col min="7" max="7" width="16" customWidth="1"/>
    <col min="8" max="8" width="17.6640625" customWidth="1"/>
    <col min="9" max="9" width="13.109375" customWidth="1"/>
    <col min="10" max="10" width="18" customWidth="1"/>
    <col min="11" max="11" width="13.88671875" customWidth="1"/>
    <col min="12" max="26" width="9.109375" customWidth="1"/>
  </cols>
  <sheetData>
    <row r="1" spans="1:26" ht="34.5" customHeight="1" x14ac:dyDescent="0.25">
      <c r="A1" s="28" t="s">
        <v>1699</v>
      </c>
      <c r="B1" s="8" t="s">
        <v>10</v>
      </c>
      <c r="C1" s="8" t="s">
        <v>11</v>
      </c>
      <c r="D1" s="9" t="s">
        <v>1678</v>
      </c>
      <c r="E1" s="9" t="s">
        <v>1686</v>
      </c>
      <c r="F1" s="9" t="s">
        <v>1687</v>
      </c>
      <c r="G1" s="9" t="s">
        <v>1678</v>
      </c>
      <c r="H1" s="9" t="s">
        <v>1686</v>
      </c>
      <c r="I1" s="9" t="s">
        <v>1688</v>
      </c>
      <c r="J1" s="8" t="s">
        <v>1682</v>
      </c>
      <c r="K1" s="9" t="s">
        <v>1683</v>
      </c>
      <c r="L1" s="57"/>
      <c r="M1" s="57"/>
      <c r="N1" s="57"/>
      <c r="O1" s="57"/>
      <c r="P1" s="57"/>
      <c r="Q1" s="57"/>
      <c r="R1" s="57"/>
      <c r="S1" s="57"/>
      <c r="T1" s="57"/>
      <c r="U1" s="57"/>
      <c r="V1" s="57"/>
      <c r="W1" s="57"/>
      <c r="X1" s="57"/>
      <c r="Y1" s="57"/>
      <c r="Z1" s="57"/>
    </row>
    <row r="2" spans="1:26" ht="28.5" customHeight="1" x14ac:dyDescent="0.25">
      <c r="A2" s="32" t="s">
        <v>1700</v>
      </c>
      <c r="B2" s="32" t="s">
        <v>143</v>
      </c>
      <c r="C2" s="32" t="s">
        <v>126</v>
      </c>
      <c r="D2" s="33">
        <v>1830</v>
      </c>
      <c r="E2" s="33">
        <v>933</v>
      </c>
      <c r="F2" s="33">
        <v>2763</v>
      </c>
      <c r="G2" s="33">
        <v>1772</v>
      </c>
      <c r="H2" s="33">
        <v>900</v>
      </c>
      <c r="I2" s="33">
        <v>2672</v>
      </c>
      <c r="J2" s="33">
        <f t="shared" ref="J2:J25" si="0">F2-I2</f>
        <v>91</v>
      </c>
      <c r="K2" s="33">
        <f t="shared" ref="K2:K25" si="1">(J2/I2)*100</f>
        <v>3.4056886227544907</v>
      </c>
      <c r="L2" s="40"/>
      <c r="M2" s="41"/>
      <c r="N2" s="41"/>
      <c r="O2" s="41"/>
      <c r="P2" s="41"/>
      <c r="Q2" s="41"/>
      <c r="R2" s="41"/>
      <c r="S2" s="41"/>
      <c r="T2" s="41"/>
      <c r="U2" s="41"/>
      <c r="V2" s="41"/>
      <c r="W2" s="41"/>
      <c r="X2" s="41"/>
      <c r="Y2" s="41"/>
      <c r="Z2" s="41"/>
    </row>
    <row r="3" spans="1:26" ht="28.5" customHeight="1" x14ac:dyDescent="0.25">
      <c r="A3" s="32" t="s">
        <v>124</v>
      </c>
      <c r="B3" s="32" t="s">
        <v>125</v>
      </c>
      <c r="C3" s="24" t="s">
        <v>126</v>
      </c>
      <c r="D3" s="33">
        <v>191</v>
      </c>
      <c r="E3" s="33">
        <v>159</v>
      </c>
      <c r="F3" s="33">
        <v>350</v>
      </c>
      <c r="G3" s="33">
        <v>42</v>
      </c>
      <c r="H3" s="33">
        <v>147</v>
      </c>
      <c r="I3" s="33">
        <v>189</v>
      </c>
      <c r="J3" s="33">
        <f t="shared" si="0"/>
        <v>161</v>
      </c>
      <c r="K3" s="33">
        <f t="shared" si="1"/>
        <v>85.18518518518519</v>
      </c>
      <c r="L3" s="40"/>
      <c r="M3" s="41"/>
      <c r="N3" s="41"/>
      <c r="O3" s="41"/>
      <c r="P3" s="41"/>
      <c r="Q3" s="41"/>
      <c r="R3" s="41"/>
      <c r="S3" s="41"/>
      <c r="T3" s="41"/>
      <c r="U3" s="41"/>
      <c r="V3" s="41"/>
      <c r="W3" s="41"/>
      <c r="X3" s="41"/>
      <c r="Y3" s="41"/>
      <c r="Z3" s="41"/>
    </row>
    <row r="4" spans="1:26" ht="28.5" customHeight="1" x14ac:dyDescent="0.25">
      <c r="A4" s="32" t="s">
        <v>127</v>
      </c>
      <c r="B4" s="32" t="s">
        <v>128</v>
      </c>
      <c r="C4" s="32" t="s">
        <v>129</v>
      </c>
      <c r="D4" s="33">
        <v>459</v>
      </c>
      <c r="E4" s="33">
        <v>428</v>
      </c>
      <c r="F4" s="33">
        <v>887</v>
      </c>
      <c r="G4" s="33">
        <v>376</v>
      </c>
      <c r="H4" s="33">
        <v>285</v>
      </c>
      <c r="I4" s="33">
        <v>661</v>
      </c>
      <c r="J4" s="33">
        <f t="shared" si="0"/>
        <v>226</v>
      </c>
      <c r="K4" s="33">
        <f t="shared" si="1"/>
        <v>34.190620272314675</v>
      </c>
      <c r="L4" s="40"/>
      <c r="M4" s="41"/>
      <c r="N4" s="41"/>
      <c r="O4" s="41"/>
      <c r="P4" s="41"/>
      <c r="Q4" s="41"/>
      <c r="R4" s="41"/>
      <c r="S4" s="41"/>
      <c r="T4" s="41"/>
      <c r="U4" s="41"/>
      <c r="V4" s="41"/>
      <c r="W4" s="41"/>
      <c r="X4" s="41"/>
      <c r="Y4" s="41"/>
      <c r="Z4" s="41"/>
    </row>
    <row r="5" spans="1:26" ht="28.5" customHeight="1" x14ac:dyDescent="0.25">
      <c r="A5" s="32" t="s">
        <v>130</v>
      </c>
      <c r="B5" s="32" t="s">
        <v>131</v>
      </c>
      <c r="C5" s="32" t="s">
        <v>62</v>
      </c>
      <c r="D5" s="33">
        <v>378</v>
      </c>
      <c r="E5" s="33">
        <v>0</v>
      </c>
      <c r="F5" s="33">
        <v>378</v>
      </c>
      <c r="G5" s="33">
        <v>306</v>
      </c>
      <c r="H5" s="33">
        <v>0</v>
      </c>
      <c r="I5" s="33">
        <v>306</v>
      </c>
      <c r="J5" s="33">
        <f t="shared" si="0"/>
        <v>72</v>
      </c>
      <c r="K5" s="33">
        <f t="shared" si="1"/>
        <v>23.52941176470588</v>
      </c>
      <c r="L5" s="40"/>
      <c r="M5" s="41"/>
      <c r="N5" s="41"/>
      <c r="O5" s="41"/>
      <c r="P5" s="41"/>
      <c r="Q5" s="41"/>
      <c r="R5" s="41"/>
      <c r="S5" s="41"/>
      <c r="T5" s="41"/>
      <c r="U5" s="41"/>
      <c r="V5" s="41"/>
      <c r="W5" s="41"/>
      <c r="X5" s="41"/>
      <c r="Y5" s="41"/>
      <c r="Z5" s="41"/>
    </row>
    <row r="6" spans="1:26" ht="28.5" customHeight="1" x14ac:dyDescent="0.25">
      <c r="A6" s="32" t="s">
        <v>132</v>
      </c>
      <c r="B6" s="32" t="s">
        <v>133</v>
      </c>
      <c r="C6" s="32" t="s">
        <v>100</v>
      </c>
      <c r="D6" s="33">
        <v>605</v>
      </c>
      <c r="E6" s="33">
        <v>111</v>
      </c>
      <c r="F6" s="33">
        <v>716</v>
      </c>
      <c r="G6" s="33">
        <v>550</v>
      </c>
      <c r="H6" s="33">
        <v>80</v>
      </c>
      <c r="I6" s="33">
        <v>630</v>
      </c>
      <c r="J6" s="33">
        <f t="shared" si="0"/>
        <v>86</v>
      </c>
      <c r="K6" s="33">
        <f t="shared" si="1"/>
        <v>13.65079365079365</v>
      </c>
      <c r="L6" s="40"/>
      <c r="M6" s="41"/>
      <c r="N6" s="41"/>
      <c r="O6" s="41"/>
      <c r="P6" s="41"/>
      <c r="Q6" s="41"/>
      <c r="R6" s="41"/>
      <c r="S6" s="41"/>
      <c r="T6" s="41"/>
      <c r="U6" s="41"/>
      <c r="V6" s="41"/>
      <c r="W6" s="41"/>
      <c r="X6" s="41"/>
      <c r="Y6" s="41"/>
      <c r="Z6" s="41"/>
    </row>
    <row r="7" spans="1:26" ht="28.5" customHeight="1" x14ac:dyDescent="0.25">
      <c r="A7" s="32" t="s">
        <v>134</v>
      </c>
      <c r="B7" s="32" t="s">
        <v>135</v>
      </c>
      <c r="C7" s="32" t="s">
        <v>56</v>
      </c>
      <c r="D7" s="33">
        <v>1790</v>
      </c>
      <c r="E7" s="33">
        <v>405</v>
      </c>
      <c r="F7" s="33">
        <v>2195</v>
      </c>
      <c r="G7" s="33">
        <v>139</v>
      </c>
      <c r="H7" s="33">
        <v>39</v>
      </c>
      <c r="I7" s="33">
        <v>178</v>
      </c>
      <c r="J7" s="33">
        <f t="shared" si="0"/>
        <v>2017</v>
      </c>
      <c r="K7" s="33">
        <f t="shared" si="1"/>
        <v>1133.1460674157304</v>
      </c>
      <c r="L7" s="40"/>
      <c r="M7" s="41"/>
      <c r="N7" s="41"/>
      <c r="O7" s="41"/>
      <c r="P7" s="41"/>
      <c r="Q7" s="41"/>
      <c r="R7" s="41"/>
      <c r="S7" s="41"/>
      <c r="T7" s="41"/>
      <c r="U7" s="41"/>
      <c r="V7" s="41"/>
      <c r="W7" s="41"/>
      <c r="X7" s="41"/>
      <c r="Y7" s="41"/>
      <c r="Z7" s="41"/>
    </row>
    <row r="8" spans="1:26" ht="28.5" customHeight="1" x14ac:dyDescent="0.25">
      <c r="A8" s="32" t="s">
        <v>136</v>
      </c>
      <c r="B8" s="32" t="s">
        <v>137</v>
      </c>
      <c r="C8" s="32" t="s">
        <v>43</v>
      </c>
      <c r="D8" s="33">
        <v>4855</v>
      </c>
      <c r="E8" s="33">
        <v>141</v>
      </c>
      <c r="F8" s="33">
        <v>4996</v>
      </c>
      <c r="G8" s="33">
        <v>5050</v>
      </c>
      <c r="H8" s="33">
        <v>176</v>
      </c>
      <c r="I8" s="33">
        <v>5226</v>
      </c>
      <c r="J8" s="33">
        <f t="shared" si="0"/>
        <v>-230</v>
      </c>
      <c r="K8" s="33">
        <f t="shared" si="1"/>
        <v>-4.4010715652506702</v>
      </c>
      <c r="L8" s="40"/>
      <c r="M8" s="41"/>
      <c r="N8" s="41"/>
      <c r="O8" s="41"/>
      <c r="P8" s="41"/>
      <c r="Q8" s="41"/>
      <c r="R8" s="41"/>
      <c r="S8" s="41"/>
      <c r="T8" s="41"/>
      <c r="U8" s="41"/>
      <c r="V8" s="41"/>
      <c r="W8" s="41"/>
      <c r="X8" s="41"/>
      <c r="Y8" s="41"/>
      <c r="Z8" s="41"/>
    </row>
    <row r="9" spans="1:26" ht="28.5" customHeight="1" x14ac:dyDescent="0.25">
      <c r="A9" s="32" t="s">
        <v>138</v>
      </c>
      <c r="B9" s="32" t="s">
        <v>139</v>
      </c>
      <c r="C9" s="32" t="s">
        <v>43</v>
      </c>
      <c r="D9" s="33">
        <v>0</v>
      </c>
      <c r="E9" s="33">
        <v>331</v>
      </c>
      <c r="F9" s="33">
        <v>331</v>
      </c>
      <c r="G9" s="33">
        <v>0</v>
      </c>
      <c r="H9" s="33">
        <v>215</v>
      </c>
      <c r="I9" s="33">
        <v>215</v>
      </c>
      <c r="J9" s="33">
        <f t="shared" si="0"/>
        <v>116</v>
      </c>
      <c r="K9" s="33">
        <f t="shared" si="1"/>
        <v>53.953488372093027</v>
      </c>
      <c r="L9" s="40"/>
      <c r="M9" s="41"/>
      <c r="N9" s="41"/>
      <c r="O9" s="41"/>
      <c r="P9" s="41"/>
      <c r="Q9" s="41"/>
      <c r="R9" s="41"/>
      <c r="S9" s="41"/>
      <c r="T9" s="41"/>
      <c r="U9" s="41"/>
      <c r="V9" s="41"/>
      <c r="W9" s="41"/>
      <c r="X9" s="41"/>
      <c r="Y9" s="41"/>
      <c r="Z9" s="41"/>
    </row>
    <row r="10" spans="1:26" ht="28.5" customHeight="1" x14ac:dyDescent="0.25">
      <c r="A10" s="32" t="s">
        <v>140</v>
      </c>
      <c r="B10" s="32" t="s">
        <v>141</v>
      </c>
      <c r="C10" s="32" t="s">
        <v>49</v>
      </c>
      <c r="D10" s="33">
        <v>710</v>
      </c>
      <c r="E10" s="33">
        <v>355</v>
      </c>
      <c r="F10" s="33">
        <v>1065</v>
      </c>
      <c r="G10" s="33">
        <v>654</v>
      </c>
      <c r="H10" s="33">
        <v>390</v>
      </c>
      <c r="I10" s="33">
        <v>1044</v>
      </c>
      <c r="J10" s="33">
        <f t="shared" si="0"/>
        <v>21</v>
      </c>
      <c r="K10" s="33">
        <f t="shared" si="1"/>
        <v>2.0114942528735633</v>
      </c>
      <c r="L10" s="40"/>
      <c r="M10" s="41"/>
      <c r="N10" s="41"/>
      <c r="O10" s="41"/>
      <c r="P10" s="41"/>
      <c r="Q10" s="41"/>
      <c r="R10" s="41"/>
      <c r="S10" s="41"/>
      <c r="T10" s="41"/>
      <c r="U10" s="41"/>
      <c r="V10" s="41"/>
      <c r="W10" s="41"/>
      <c r="X10" s="41"/>
      <c r="Y10" s="41"/>
      <c r="Z10" s="41"/>
    </row>
    <row r="11" spans="1:26" ht="28.5" customHeight="1" x14ac:dyDescent="0.25">
      <c r="A11" s="32" t="s">
        <v>142</v>
      </c>
      <c r="B11" s="32" t="s">
        <v>143</v>
      </c>
      <c r="C11" s="32" t="s">
        <v>49</v>
      </c>
      <c r="D11" s="33">
        <v>1405</v>
      </c>
      <c r="E11" s="33">
        <v>494</v>
      </c>
      <c r="F11" s="33">
        <v>1899</v>
      </c>
      <c r="G11" s="33">
        <v>1457</v>
      </c>
      <c r="H11" s="33">
        <v>478</v>
      </c>
      <c r="I11" s="33">
        <v>1935</v>
      </c>
      <c r="J11" s="33">
        <f t="shared" si="0"/>
        <v>-36</v>
      </c>
      <c r="K11" s="33">
        <f t="shared" si="1"/>
        <v>-1.8604651162790697</v>
      </c>
      <c r="L11" s="40"/>
      <c r="M11" s="41"/>
      <c r="N11" s="41"/>
      <c r="O11" s="41"/>
      <c r="P11" s="41"/>
      <c r="Q11" s="41"/>
      <c r="R11" s="41"/>
      <c r="S11" s="41"/>
      <c r="T11" s="41"/>
      <c r="U11" s="41"/>
      <c r="V11" s="41"/>
      <c r="W11" s="41"/>
      <c r="X11" s="41"/>
      <c r="Y11" s="41"/>
      <c r="Z11" s="41"/>
    </row>
    <row r="12" spans="1:26" ht="28.5" customHeight="1" x14ac:dyDescent="0.25">
      <c r="A12" s="32" t="s">
        <v>144</v>
      </c>
      <c r="B12" s="32" t="s">
        <v>145</v>
      </c>
      <c r="C12" s="32" t="s">
        <v>49</v>
      </c>
      <c r="D12" s="33">
        <v>342</v>
      </c>
      <c r="E12" s="33">
        <v>469</v>
      </c>
      <c r="F12" s="33">
        <v>811</v>
      </c>
      <c r="G12" s="33">
        <v>316</v>
      </c>
      <c r="H12" s="33">
        <v>428</v>
      </c>
      <c r="I12" s="33">
        <v>744</v>
      </c>
      <c r="J12" s="33">
        <f t="shared" si="0"/>
        <v>67</v>
      </c>
      <c r="K12" s="33">
        <f t="shared" si="1"/>
        <v>9.0053763440860219</v>
      </c>
      <c r="L12" s="40"/>
      <c r="M12" s="41"/>
      <c r="N12" s="41"/>
      <c r="O12" s="41"/>
      <c r="P12" s="41"/>
      <c r="Q12" s="41"/>
      <c r="R12" s="41"/>
      <c r="S12" s="41"/>
      <c r="T12" s="41"/>
      <c r="U12" s="41"/>
      <c r="V12" s="41"/>
      <c r="W12" s="41"/>
      <c r="X12" s="41"/>
      <c r="Y12" s="41"/>
      <c r="Z12" s="41"/>
    </row>
    <row r="13" spans="1:26" ht="28.5" customHeight="1" x14ac:dyDescent="0.25">
      <c r="A13" s="32" t="s">
        <v>146</v>
      </c>
      <c r="B13" s="32" t="s">
        <v>147</v>
      </c>
      <c r="C13" s="32" t="s">
        <v>43</v>
      </c>
      <c r="D13" s="33">
        <v>485</v>
      </c>
      <c r="E13" s="33">
        <v>365</v>
      </c>
      <c r="F13" s="33">
        <v>850</v>
      </c>
      <c r="G13" s="33">
        <v>480</v>
      </c>
      <c r="H13" s="33">
        <v>315</v>
      </c>
      <c r="I13" s="33">
        <v>795</v>
      </c>
      <c r="J13" s="33">
        <f t="shared" si="0"/>
        <v>55</v>
      </c>
      <c r="K13" s="33">
        <f t="shared" si="1"/>
        <v>6.9182389937106921</v>
      </c>
      <c r="L13" s="40"/>
      <c r="M13" s="41"/>
      <c r="N13" s="41"/>
      <c r="O13" s="41"/>
      <c r="P13" s="41"/>
      <c r="Q13" s="41"/>
      <c r="R13" s="41"/>
      <c r="S13" s="41"/>
      <c r="T13" s="41"/>
      <c r="U13" s="41"/>
      <c r="V13" s="41"/>
      <c r="W13" s="41"/>
      <c r="X13" s="41"/>
      <c r="Y13" s="41"/>
      <c r="Z13" s="41"/>
    </row>
    <row r="14" spans="1:26" ht="28.5" customHeight="1" x14ac:dyDescent="0.25">
      <c r="A14" s="32" t="s">
        <v>148</v>
      </c>
      <c r="B14" s="32" t="s">
        <v>149</v>
      </c>
      <c r="C14" s="32" t="s">
        <v>49</v>
      </c>
      <c r="D14" s="33">
        <v>231</v>
      </c>
      <c r="E14" s="33">
        <v>148</v>
      </c>
      <c r="F14" s="33">
        <v>379</v>
      </c>
      <c r="G14" s="33">
        <v>176</v>
      </c>
      <c r="H14" s="33">
        <v>136</v>
      </c>
      <c r="I14" s="33">
        <v>312</v>
      </c>
      <c r="J14" s="33">
        <f t="shared" si="0"/>
        <v>67</v>
      </c>
      <c r="K14" s="33">
        <f t="shared" si="1"/>
        <v>21.474358974358974</v>
      </c>
      <c r="L14" s="40"/>
      <c r="M14" s="41"/>
      <c r="N14" s="41"/>
      <c r="O14" s="41"/>
      <c r="P14" s="41"/>
      <c r="Q14" s="41"/>
      <c r="R14" s="41"/>
      <c r="S14" s="41"/>
      <c r="T14" s="41"/>
      <c r="U14" s="41"/>
      <c r="V14" s="41"/>
      <c r="W14" s="41"/>
      <c r="X14" s="41"/>
      <c r="Y14" s="41"/>
      <c r="Z14" s="41"/>
    </row>
    <row r="15" spans="1:26" ht="28.5" customHeight="1" x14ac:dyDescent="0.25">
      <c r="A15" s="32" t="s">
        <v>150</v>
      </c>
      <c r="B15" s="32" t="s">
        <v>151</v>
      </c>
      <c r="C15" s="32" t="s">
        <v>49</v>
      </c>
      <c r="D15" s="33">
        <v>656</v>
      </c>
      <c r="E15" s="33">
        <v>142</v>
      </c>
      <c r="F15" s="33">
        <v>798</v>
      </c>
      <c r="G15" s="33">
        <v>121</v>
      </c>
      <c r="H15" s="33">
        <v>6</v>
      </c>
      <c r="I15" s="33">
        <v>127</v>
      </c>
      <c r="J15" s="33">
        <f t="shared" si="0"/>
        <v>671</v>
      </c>
      <c r="K15" s="33">
        <f t="shared" si="1"/>
        <v>528.34645669291342</v>
      </c>
      <c r="L15" s="40"/>
      <c r="M15" s="41"/>
      <c r="N15" s="41"/>
      <c r="O15" s="41"/>
      <c r="P15" s="41"/>
      <c r="Q15" s="41"/>
      <c r="R15" s="41"/>
      <c r="S15" s="41"/>
      <c r="T15" s="41"/>
      <c r="U15" s="41"/>
      <c r="V15" s="41"/>
      <c r="W15" s="41"/>
      <c r="X15" s="41"/>
      <c r="Y15" s="41"/>
      <c r="Z15" s="41"/>
    </row>
    <row r="16" spans="1:26" ht="28.5" customHeight="1" x14ac:dyDescent="0.25">
      <c r="A16" s="32" t="s">
        <v>152</v>
      </c>
      <c r="B16" s="32" t="s">
        <v>153</v>
      </c>
      <c r="C16" s="32" t="s">
        <v>49</v>
      </c>
      <c r="D16" s="33">
        <v>475</v>
      </c>
      <c r="E16" s="33">
        <v>92</v>
      </c>
      <c r="F16" s="33">
        <v>567</v>
      </c>
      <c r="G16" s="33">
        <v>118</v>
      </c>
      <c r="H16" s="33">
        <v>108</v>
      </c>
      <c r="I16" s="33">
        <v>226</v>
      </c>
      <c r="J16" s="33">
        <f t="shared" si="0"/>
        <v>341</v>
      </c>
      <c r="K16" s="33">
        <f t="shared" si="1"/>
        <v>150.88495575221239</v>
      </c>
      <c r="L16" s="40"/>
      <c r="M16" s="41"/>
      <c r="N16" s="41"/>
      <c r="O16" s="41"/>
      <c r="P16" s="41"/>
      <c r="Q16" s="41"/>
      <c r="R16" s="41"/>
      <c r="S16" s="41"/>
      <c r="T16" s="41"/>
      <c r="U16" s="41"/>
      <c r="V16" s="41"/>
      <c r="W16" s="41"/>
      <c r="X16" s="41"/>
      <c r="Y16" s="41"/>
      <c r="Z16" s="41"/>
    </row>
    <row r="17" spans="1:26" ht="28.5" customHeight="1" x14ac:dyDescent="0.25">
      <c r="A17" s="32" t="s">
        <v>154</v>
      </c>
      <c r="B17" s="32" t="s">
        <v>155</v>
      </c>
      <c r="C17" s="32" t="s">
        <v>113</v>
      </c>
      <c r="D17" s="33">
        <v>2001</v>
      </c>
      <c r="E17" s="33">
        <v>292</v>
      </c>
      <c r="F17" s="33">
        <v>2293</v>
      </c>
      <c r="G17" s="33">
        <v>2814</v>
      </c>
      <c r="H17" s="33">
        <v>407</v>
      </c>
      <c r="I17" s="33">
        <v>3221</v>
      </c>
      <c r="J17" s="33">
        <f t="shared" si="0"/>
        <v>-928</v>
      </c>
      <c r="K17" s="33">
        <f t="shared" si="1"/>
        <v>-28.81092828314188</v>
      </c>
      <c r="L17" s="40"/>
      <c r="M17" s="41"/>
      <c r="N17" s="41"/>
      <c r="O17" s="41"/>
      <c r="P17" s="41"/>
      <c r="Q17" s="41"/>
      <c r="R17" s="41"/>
      <c r="S17" s="41"/>
      <c r="T17" s="41"/>
      <c r="U17" s="41"/>
      <c r="V17" s="41"/>
      <c r="W17" s="41"/>
      <c r="X17" s="41"/>
      <c r="Y17" s="41"/>
      <c r="Z17" s="41"/>
    </row>
    <row r="18" spans="1:26" ht="28.5" customHeight="1" x14ac:dyDescent="0.25">
      <c r="A18" s="32" t="s">
        <v>156</v>
      </c>
      <c r="B18" s="32" t="s">
        <v>157</v>
      </c>
      <c r="C18" s="32" t="s">
        <v>113</v>
      </c>
      <c r="D18" s="33">
        <v>144</v>
      </c>
      <c r="E18" s="33">
        <v>81</v>
      </c>
      <c r="F18" s="33">
        <v>225</v>
      </c>
      <c r="G18" s="33">
        <v>178</v>
      </c>
      <c r="H18" s="33">
        <v>86</v>
      </c>
      <c r="I18" s="33">
        <v>264</v>
      </c>
      <c r="J18" s="33">
        <f t="shared" si="0"/>
        <v>-39</v>
      </c>
      <c r="K18" s="33">
        <f t="shared" si="1"/>
        <v>-14.772727272727273</v>
      </c>
      <c r="L18" s="40"/>
      <c r="M18" s="41"/>
      <c r="N18" s="41"/>
      <c r="O18" s="41"/>
      <c r="P18" s="41"/>
      <c r="Q18" s="41"/>
      <c r="R18" s="41"/>
      <c r="S18" s="41"/>
      <c r="T18" s="41"/>
      <c r="U18" s="41"/>
      <c r="V18" s="41"/>
      <c r="W18" s="41"/>
      <c r="X18" s="41"/>
      <c r="Y18" s="41"/>
      <c r="Z18" s="41"/>
    </row>
    <row r="19" spans="1:26" ht="28.5" customHeight="1" x14ac:dyDescent="0.25">
      <c r="A19" s="32" t="s">
        <v>158</v>
      </c>
      <c r="B19" s="32" t="s">
        <v>159</v>
      </c>
      <c r="C19" s="32" t="s">
        <v>113</v>
      </c>
      <c r="D19" s="33">
        <v>598</v>
      </c>
      <c r="E19" s="33">
        <v>0</v>
      </c>
      <c r="F19" s="33">
        <v>598</v>
      </c>
      <c r="G19" s="33">
        <v>867</v>
      </c>
      <c r="H19" s="33">
        <v>0</v>
      </c>
      <c r="I19" s="33">
        <v>867</v>
      </c>
      <c r="J19" s="33">
        <f t="shared" si="0"/>
        <v>-269</v>
      </c>
      <c r="K19" s="33">
        <f t="shared" si="1"/>
        <v>-31.02652825836217</v>
      </c>
      <c r="L19" s="40"/>
      <c r="M19" s="41"/>
      <c r="N19" s="41"/>
      <c r="O19" s="41"/>
      <c r="P19" s="41"/>
      <c r="Q19" s="41"/>
      <c r="R19" s="41"/>
      <c r="S19" s="41"/>
      <c r="T19" s="41"/>
      <c r="U19" s="41"/>
      <c r="V19" s="41"/>
      <c r="W19" s="41"/>
      <c r="X19" s="41"/>
      <c r="Y19" s="41"/>
      <c r="Z19" s="41"/>
    </row>
    <row r="20" spans="1:26" ht="28.5" customHeight="1" x14ac:dyDescent="0.25">
      <c r="A20" s="32" t="s">
        <v>160</v>
      </c>
      <c r="B20" s="32" t="s">
        <v>161</v>
      </c>
      <c r="C20" s="32" t="s">
        <v>113</v>
      </c>
      <c r="D20" s="33">
        <v>629</v>
      </c>
      <c r="E20" s="33">
        <v>939</v>
      </c>
      <c r="F20" s="33">
        <v>1568</v>
      </c>
      <c r="G20" s="33">
        <v>758</v>
      </c>
      <c r="H20" s="33">
        <v>971</v>
      </c>
      <c r="I20" s="33">
        <v>1729</v>
      </c>
      <c r="J20" s="33">
        <f t="shared" si="0"/>
        <v>-161</v>
      </c>
      <c r="K20" s="33">
        <f t="shared" si="1"/>
        <v>-9.3117408906882595</v>
      </c>
      <c r="L20" s="40"/>
      <c r="M20" s="41"/>
      <c r="N20" s="41"/>
      <c r="O20" s="41"/>
      <c r="P20" s="41"/>
      <c r="Q20" s="41"/>
      <c r="R20" s="41"/>
      <c r="S20" s="41"/>
      <c r="T20" s="41"/>
      <c r="U20" s="41"/>
      <c r="V20" s="41"/>
      <c r="W20" s="41"/>
      <c r="X20" s="41"/>
      <c r="Y20" s="41"/>
      <c r="Z20" s="41"/>
    </row>
    <row r="21" spans="1:26" ht="28.5" customHeight="1" x14ac:dyDescent="0.25">
      <c r="A21" s="32" t="s">
        <v>162</v>
      </c>
      <c r="B21" s="11" t="s">
        <v>163</v>
      </c>
      <c r="C21" s="32" t="s">
        <v>100</v>
      </c>
      <c r="D21" s="33">
        <v>92</v>
      </c>
      <c r="E21" s="33">
        <v>196</v>
      </c>
      <c r="F21" s="33">
        <v>288</v>
      </c>
      <c r="G21" s="33">
        <v>252</v>
      </c>
      <c r="H21" s="33">
        <v>299</v>
      </c>
      <c r="I21" s="33">
        <v>551</v>
      </c>
      <c r="J21" s="33">
        <f t="shared" si="0"/>
        <v>-263</v>
      </c>
      <c r="K21" s="33">
        <f t="shared" si="1"/>
        <v>-47.731397459165152</v>
      </c>
      <c r="L21" s="40"/>
      <c r="M21" s="41"/>
      <c r="N21" s="41"/>
      <c r="O21" s="41"/>
      <c r="P21" s="41"/>
      <c r="Q21" s="41"/>
      <c r="R21" s="41"/>
      <c r="S21" s="41"/>
      <c r="T21" s="41"/>
      <c r="U21" s="41"/>
      <c r="V21" s="41"/>
      <c r="W21" s="41"/>
      <c r="X21" s="41"/>
      <c r="Y21" s="41"/>
      <c r="Z21" s="41"/>
    </row>
    <row r="22" spans="1:26" ht="28.5" customHeight="1" x14ac:dyDescent="0.25">
      <c r="A22" s="24" t="s">
        <v>23</v>
      </c>
      <c r="B22" s="24"/>
      <c r="C22" s="24"/>
      <c r="D22" s="25">
        <v>109</v>
      </c>
      <c r="E22" s="25">
        <v>174</v>
      </c>
      <c r="F22" s="25">
        <v>283</v>
      </c>
      <c r="G22" s="25">
        <v>105</v>
      </c>
      <c r="H22" s="25">
        <v>207</v>
      </c>
      <c r="I22" s="25">
        <v>312</v>
      </c>
      <c r="J22" s="25">
        <f t="shared" si="0"/>
        <v>-29</v>
      </c>
      <c r="K22" s="25">
        <f t="shared" si="1"/>
        <v>-9.2948717948717956</v>
      </c>
      <c r="L22" s="17"/>
      <c r="M22" s="17"/>
      <c r="N22" s="17"/>
      <c r="O22" s="17"/>
      <c r="P22" s="17"/>
      <c r="Q22" s="17"/>
      <c r="R22" s="17"/>
      <c r="S22" s="17"/>
      <c r="T22" s="17"/>
      <c r="U22" s="17"/>
      <c r="V22" s="17"/>
      <c r="W22" s="17"/>
      <c r="X22" s="17"/>
      <c r="Y22" s="17"/>
      <c r="Z22" s="17"/>
    </row>
    <row r="23" spans="1:26" ht="28.5" customHeight="1" x14ac:dyDescent="0.25">
      <c r="A23" s="26" t="s">
        <v>164</v>
      </c>
      <c r="B23" s="26"/>
      <c r="C23" s="26"/>
      <c r="D23" s="19">
        <v>17985</v>
      </c>
      <c r="E23" s="19">
        <v>6255</v>
      </c>
      <c r="F23" s="19">
        <v>24240</v>
      </c>
      <c r="G23" s="19">
        <v>16531</v>
      </c>
      <c r="H23" s="19">
        <v>5673</v>
      </c>
      <c r="I23" s="19">
        <v>22204</v>
      </c>
      <c r="J23" s="22">
        <f t="shared" si="0"/>
        <v>2036</v>
      </c>
      <c r="K23" s="19">
        <f t="shared" si="1"/>
        <v>9.1695190055845792</v>
      </c>
      <c r="L23" s="45"/>
      <c r="M23" s="45"/>
      <c r="N23" s="45"/>
      <c r="O23" s="45"/>
      <c r="P23" s="45"/>
      <c r="Q23" s="45"/>
      <c r="R23" s="45"/>
      <c r="S23" s="45"/>
      <c r="T23" s="45"/>
      <c r="U23" s="45"/>
      <c r="V23" s="45"/>
      <c r="W23" s="45"/>
      <c r="X23" s="45"/>
      <c r="Y23" s="45"/>
      <c r="Z23" s="45"/>
    </row>
    <row r="24" spans="1:26" ht="28.5" customHeight="1" x14ac:dyDescent="0.25">
      <c r="A24" s="11" t="s">
        <v>165</v>
      </c>
      <c r="B24" s="11"/>
      <c r="C24" s="11"/>
      <c r="D24" s="11"/>
      <c r="E24" s="11"/>
      <c r="F24" s="51">
        <v>1184</v>
      </c>
      <c r="G24" s="11"/>
      <c r="H24" s="11"/>
      <c r="I24" s="51">
        <v>1158</v>
      </c>
      <c r="J24" s="25">
        <f t="shared" si="0"/>
        <v>26</v>
      </c>
      <c r="K24" s="25">
        <f t="shared" si="1"/>
        <v>2.2452504317789295</v>
      </c>
      <c r="L24" s="17"/>
      <c r="M24" s="17"/>
      <c r="N24" s="17"/>
      <c r="O24" s="17"/>
      <c r="P24" s="17"/>
      <c r="Q24" s="17"/>
      <c r="R24" s="17"/>
      <c r="S24" s="17"/>
      <c r="T24" s="17"/>
      <c r="U24" s="17"/>
      <c r="V24" s="17"/>
      <c r="W24" s="17"/>
      <c r="X24" s="17"/>
      <c r="Y24" s="17"/>
      <c r="Z24" s="17"/>
    </row>
    <row r="25" spans="1:26" ht="28.5" customHeight="1" x14ac:dyDescent="0.25">
      <c r="A25" s="26" t="s">
        <v>101</v>
      </c>
      <c r="B25" s="26"/>
      <c r="C25" s="26"/>
      <c r="D25" s="19">
        <v>17985</v>
      </c>
      <c r="E25" s="19">
        <v>6255</v>
      </c>
      <c r="F25" s="58">
        <v>25424</v>
      </c>
      <c r="G25" s="19">
        <v>16531</v>
      </c>
      <c r="H25" s="19">
        <v>5673</v>
      </c>
      <c r="I25" s="58">
        <v>23362</v>
      </c>
      <c r="J25" s="22">
        <f t="shared" si="0"/>
        <v>2062</v>
      </c>
      <c r="K25" s="19">
        <f t="shared" si="1"/>
        <v>8.8262991182261796</v>
      </c>
      <c r="L25" s="45"/>
      <c r="M25" s="45"/>
      <c r="N25" s="45"/>
      <c r="O25" s="45"/>
      <c r="P25" s="45"/>
      <c r="Q25" s="45"/>
      <c r="R25" s="45"/>
      <c r="S25" s="45"/>
      <c r="T25" s="45"/>
      <c r="U25" s="45"/>
      <c r="V25" s="45"/>
      <c r="W25" s="45"/>
      <c r="X25" s="45"/>
      <c r="Y25" s="45"/>
      <c r="Z25" s="45"/>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A5DB0"/>
  </sheetPr>
  <dimension ref="A1:V31"/>
  <sheetViews>
    <sheetView workbookViewId="0">
      <pane ySplit="1" topLeftCell="A2" activePane="bottomLeft" state="frozen"/>
      <selection pane="bottomLeft"/>
    </sheetView>
  </sheetViews>
  <sheetFormatPr defaultColWidth="14.44140625" defaultRowHeight="15.75" customHeight="1" x14ac:dyDescent="0.25"/>
  <cols>
    <col min="1" max="1" width="32.6640625" customWidth="1"/>
    <col min="2" max="2" width="24.5546875" customWidth="1"/>
    <col min="3" max="3" width="29.5546875" customWidth="1"/>
    <col min="4" max="4" width="17.88671875" customWidth="1"/>
    <col min="5" max="5" width="14.6640625" customWidth="1"/>
    <col min="6" max="6" width="15.88671875" customWidth="1"/>
    <col min="7" max="7" width="15.109375" customWidth="1"/>
    <col min="8" max="22" width="9.109375" customWidth="1"/>
  </cols>
  <sheetData>
    <row r="1" spans="1:22" ht="34.5" customHeight="1" x14ac:dyDescent="0.25">
      <c r="A1" s="59" t="s">
        <v>1701</v>
      </c>
      <c r="B1" s="47" t="s">
        <v>10</v>
      </c>
      <c r="C1" s="47" t="s">
        <v>11</v>
      </c>
      <c r="D1" s="60" t="s">
        <v>1687</v>
      </c>
      <c r="E1" s="8" t="s">
        <v>1688</v>
      </c>
      <c r="F1" s="47" t="s">
        <v>1682</v>
      </c>
      <c r="G1" s="48" t="s">
        <v>1702</v>
      </c>
      <c r="H1" s="18"/>
      <c r="I1" s="18"/>
      <c r="J1" s="18"/>
      <c r="K1" s="18"/>
      <c r="L1" s="18"/>
      <c r="M1" s="18"/>
      <c r="N1" s="18"/>
      <c r="O1" s="18"/>
      <c r="P1" s="18"/>
      <c r="Q1" s="18"/>
      <c r="R1" s="18"/>
      <c r="S1" s="18"/>
      <c r="T1" s="18"/>
      <c r="U1" s="18"/>
      <c r="V1" s="18"/>
    </row>
    <row r="2" spans="1:22" ht="28.5" customHeight="1" x14ac:dyDescent="0.25">
      <c r="A2" s="24" t="s">
        <v>1261</v>
      </c>
      <c r="B2" s="11" t="s">
        <v>1262</v>
      </c>
      <c r="C2" s="11" t="s">
        <v>49</v>
      </c>
      <c r="D2" s="61">
        <v>444.79999999999995</v>
      </c>
      <c r="E2" s="62">
        <v>377.59999999999997</v>
      </c>
      <c r="F2" s="51">
        <f t="shared" ref="F2:F3" si="0">D2-E2</f>
        <v>67.199999999999989</v>
      </c>
      <c r="G2" s="51">
        <f t="shared" ref="G2:G3" si="1">(F2/E2)*100</f>
        <v>17.796610169491526</v>
      </c>
      <c r="H2" s="18"/>
      <c r="I2" s="18"/>
      <c r="J2" s="18"/>
      <c r="K2" s="18"/>
      <c r="L2" s="18"/>
      <c r="M2" s="18"/>
      <c r="N2" s="18"/>
      <c r="O2" s="18"/>
      <c r="P2" s="18"/>
      <c r="Q2" s="18"/>
      <c r="R2" s="18"/>
      <c r="S2" s="18"/>
      <c r="T2" s="18"/>
      <c r="U2" s="18"/>
      <c r="V2" s="18"/>
    </row>
    <row r="3" spans="1:22" ht="28.5" customHeight="1" x14ac:dyDescent="0.25">
      <c r="A3" s="11" t="s">
        <v>252</v>
      </c>
      <c r="B3" s="11" t="s">
        <v>253</v>
      </c>
      <c r="C3" s="11" t="s">
        <v>49</v>
      </c>
      <c r="D3" s="63">
        <v>22.1</v>
      </c>
      <c r="E3" s="62">
        <v>11.700000000000001</v>
      </c>
      <c r="F3" s="51">
        <f t="shared" si="0"/>
        <v>10.4</v>
      </c>
      <c r="G3" s="51">
        <f t="shared" si="1"/>
        <v>88.888888888888886</v>
      </c>
      <c r="H3" s="18"/>
      <c r="I3" s="18"/>
      <c r="J3" s="18"/>
      <c r="K3" s="18"/>
      <c r="L3" s="18"/>
      <c r="M3" s="18"/>
      <c r="N3" s="18"/>
      <c r="O3" s="18"/>
      <c r="P3" s="18"/>
      <c r="Q3" s="18"/>
      <c r="R3" s="18"/>
      <c r="S3" s="18"/>
      <c r="T3" s="18"/>
      <c r="U3" s="18"/>
      <c r="V3" s="18"/>
    </row>
    <row r="4" spans="1:22" ht="28.5" customHeight="1" x14ac:dyDescent="0.25">
      <c r="A4" s="11" t="s">
        <v>254</v>
      </c>
      <c r="B4" s="11" t="s">
        <v>255</v>
      </c>
      <c r="C4" s="11" t="s">
        <v>49</v>
      </c>
      <c r="D4" s="61">
        <v>11.200000000000001</v>
      </c>
      <c r="E4" s="51">
        <v>0</v>
      </c>
      <c r="F4" s="51">
        <v>0</v>
      </c>
      <c r="G4" s="64">
        <v>100</v>
      </c>
      <c r="H4" s="18"/>
      <c r="I4" s="18"/>
      <c r="J4" s="18"/>
      <c r="K4" s="18"/>
      <c r="L4" s="18"/>
      <c r="M4" s="18"/>
      <c r="N4" s="18"/>
      <c r="O4" s="18"/>
      <c r="P4" s="18"/>
      <c r="Q4" s="18"/>
      <c r="R4" s="18"/>
      <c r="S4" s="18"/>
      <c r="T4" s="18"/>
      <c r="U4" s="18"/>
      <c r="V4" s="18"/>
    </row>
    <row r="5" spans="1:22" ht="28.5" customHeight="1" x14ac:dyDescent="0.25">
      <c r="A5" s="11" t="s">
        <v>256</v>
      </c>
      <c r="B5" s="11" t="s">
        <v>257</v>
      </c>
      <c r="C5" s="11" t="s">
        <v>258</v>
      </c>
      <c r="D5" s="61">
        <v>162.80000000000001</v>
      </c>
      <c r="E5" s="51">
        <v>158.30000000000001</v>
      </c>
      <c r="F5" s="51">
        <f t="shared" ref="F5:F31" si="2">D5-E5</f>
        <v>4.5</v>
      </c>
      <c r="G5" s="51">
        <f t="shared" ref="G5:G31" si="3">(F5/E5)*100</f>
        <v>2.8427037271004418</v>
      </c>
      <c r="H5" s="18"/>
      <c r="I5" s="18"/>
      <c r="J5" s="18"/>
      <c r="K5" s="18"/>
      <c r="L5" s="18"/>
      <c r="M5" s="18"/>
      <c r="N5" s="18"/>
      <c r="O5" s="18"/>
      <c r="P5" s="18"/>
      <c r="Q5" s="18"/>
      <c r="R5" s="18"/>
      <c r="S5" s="18"/>
      <c r="T5" s="18"/>
      <c r="U5" s="18"/>
      <c r="V5" s="18"/>
    </row>
    <row r="6" spans="1:22" ht="28.5" customHeight="1" x14ac:dyDescent="0.25">
      <c r="A6" s="24" t="s">
        <v>259</v>
      </c>
      <c r="B6" s="11" t="s">
        <v>260</v>
      </c>
      <c r="C6" s="11" t="s">
        <v>258</v>
      </c>
      <c r="D6" s="61">
        <v>33.299999999999997</v>
      </c>
      <c r="E6" s="51">
        <v>56.800000000000004</v>
      </c>
      <c r="F6" s="51">
        <f t="shared" si="2"/>
        <v>-23.500000000000007</v>
      </c>
      <c r="G6" s="51">
        <f t="shared" si="3"/>
        <v>-41.373239436619727</v>
      </c>
      <c r="H6" s="18"/>
      <c r="I6" s="18"/>
      <c r="J6" s="18"/>
      <c r="K6" s="18"/>
      <c r="L6" s="18"/>
      <c r="M6" s="18"/>
      <c r="N6" s="18"/>
      <c r="O6" s="18"/>
      <c r="P6" s="18"/>
      <c r="Q6" s="18"/>
      <c r="R6" s="18"/>
      <c r="S6" s="18"/>
      <c r="T6" s="18"/>
      <c r="U6" s="18"/>
      <c r="V6" s="18"/>
    </row>
    <row r="7" spans="1:22" ht="28.5" customHeight="1" x14ac:dyDescent="0.25">
      <c r="A7" s="24" t="s">
        <v>261</v>
      </c>
      <c r="B7" s="11" t="s">
        <v>262</v>
      </c>
      <c r="C7" s="11" t="s">
        <v>43</v>
      </c>
      <c r="D7" s="61">
        <v>185</v>
      </c>
      <c r="E7" s="51">
        <v>191.89999999999998</v>
      </c>
      <c r="F7" s="51">
        <f t="shared" si="2"/>
        <v>-6.8999999999999773</v>
      </c>
      <c r="G7" s="51">
        <f t="shared" si="3"/>
        <v>-3.5956227201667419</v>
      </c>
      <c r="H7" s="18"/>
      <c r="I7" s="18"/>
      <c r="J7" s="18"/>
      <c r="K7" s="18"/>
      <c r="L7" s="18"/>
      <c r="M7" s="18"/>
      <c r="N7" s="18"/>
      <c r="O7" s="18"/>
      <c r="P7" s="18"/>
      <c r="Q7" s="18"/>
      <c r="R7" s="18"/>
      <c r="S7" s="18"/>
      <c r="T7" s="18"/>
      <c r="U7" s="18"/>
      <c r="V7" s="18"/>
    </row>
    <row r="8" spans="1:22" ht="28.5" customHeight="1" x14ac:dyDescent="0.25">
      <c r="A8" s="11" t="s">
        <v>263</v>
      </c>
      <c r="B8" s="11" t="s">
        <v>264</v>
      </c>
      <c r="C8" s="11" t="s">
        <v>258</v>
      </c>
      <c r="D8" s="61">
        <v>38.299999999999997</v>
      </c>
      <c r="E8" s="51">
        <v>44.8</v>
      </c>
      <c r="F8" s="51">
        <f t="shared" si="2"/>
        <v>-6.5</v>
      </c>
      <c r="G8" s="51">
        <f t="shared" si="3"/>
        <v>-14.508928571428573</v>
      </c>
      <c r="H8" s="18"/>
      <c r="I8" s="18"/>
      <c r="J8" s="18"/>
      <c r="K8" s="18"/>
      <c r="L8" s="18"/>
      <c r="M8" s="18"/>
      <c r="N8" s="18"/>
      <c r="O8" s="18"/>
      <c r="P8" s="18"/>
      <c r="Q8" s="18"/>
      <c r="R8" s="18"/>
      <c r="S8" s="18"/>
      <c r="T8" s="18"/>
      <c r="U8" s="18"/>
      <c r="V8" s="18"/>
    </row>
    <row r="9" spans="1:22" ht="28.5" customHeight="1" x14ac:dyDescent="0.25">
      <c r="A9" s="11" t="s">
        <v>265</v>
      </c>
      <c r="B9" s="11" t="s">
        <v>266</v>
      </c>
      <c r="C9" s="11" t="s">
        <v>89</v>
      </c>
      <c r="D9" s="61">
        <v>28</v>
      </c>
      <c r="E9" s="51">
        <v>35.1</v>
      </c>
      <c r="F9" s="51">
        <f t="shared" si="2"/>
        <v>-7.1000000000000014</v>
      </c>
      <c r="G9" s="51">
        <f t="shared" si="3"/>
        <v>-20.227920227920233</v>
      </c>
      <c r="H9" s="18"/>
      <c r="I9" s="18"/>
      <c r="J9" s="18"/>
      <c r="K9" s="18"/>
      <c r="L9" s="18"/>
      <c r="M9" s="18"/>
      <c r="N9" s="18"/>
      <c r="O9" s="18"/>
      <c r="P9" s="18"/>
      <c r="Q9" s="18"/>
      <c r="R9" s="18"/>
      <c r="S9" s="18"/>
      <c r="T9" s="18"/>
      <c r="U9" s="18"/>
      <c r="V9" s="18"/>
    </row>
    <row r="10" spans="1:22" ht="28.5" customHeight="1" x14ac:dyDescent="0.25">
      <c r="A10" s="11" t="s">
        <v>267</v>
      </c>
      <c r="B10" s="11" t="s">
        <v>268</v>
      </c>
      <c r="C10" s="11" t="s">
        <v>49</v>
      </c>
      <c r="D10" s="61">
        <v>12.8</v>
      </c>
      <c r="E10" s="51">
        <v>14</v>
      </c>
      <c r="F10" s="51">
        <f t="shared" si="2"/>
        <v>-1.1999999999999993</v>
      </c>
      <c r="G10" s="51">
        <f t="shared" si="3"/>
        <v>-8.5714285714285658</v>
      </c>
      <c r="H10" s="18"/>
      <c r="I10" s="18"/>
      <c r="J10" s="18"/>
      <c r="K10" s="18"/>
      <c r="L10" s="18"/>
      <c r="M10" s="18"/>
      <c r="N10" s="18"/>
      <c r="O10" s="18"/>
      <c r="P10" s="18"/>
      <c r="Q10" s="18"/>
      <c r="R10" s="18"/>
      <c r="S10" s="18"/>
      <c r="T10" s="18"/>
      <c r="U10" s="18"/>
      <c r="V10" s="18"/>
    </row>
    <row r="11" spans="1:22" ht="28.5" customHeight="1" x14ac:dyDescent="0.25">
      <c r="A11" s="65" t="s">
        <v>269</v>
      </c>
      <c r="B11" s="11" t="s">
        <v>270</v>
      </c>
      <c r="C11" s="11" t="s">
        <v>201</v>
      </c>
      <c r="D11" s="61">
        <v>27.1</v>
      </c>
      <c r="E11" s="51">
        <v>22.799999999999997</v>
      </c>
      <c r="F11" s="51">
        <f t="shared" si="2"/>
        <v>4.3000000000000043</v>
      </c>
      <c r="G11" s="51">
        <f t="shared" si="3"/>
        <v>18.859649122807038</v>
      </c>
      <c r="H11" s="18"/>
      <c r="I11" s="18"/>
      <c r="J11" s="18"/>
      <c r="K11" s="18"/>
      <c r="L11" s="18"/>
      <c r="M11" s="18"/>
      <c r="N11" s="18"/>
      <c r="O11" s="18"/>
      <c r="P11" s="18"/>
      <c r="Q11" s="18"/>
      <c r="R11" s="18"/>
      <c r="S11" s="18"/>
      <c r="T11" s="18"/>
      <c r="U11" s="18"/>
      <c r="V11" s="18"/>
    </row>
    <row r="12" spans="1:22" ht="28.5" customHeight="1" x14ac:dyDescent="0.25">
      <c r="A12" s="65" t="s">
        <v>127</v>
      </c>
      <c r="B12" s="11" t="s">
        <v>128</v>
      </c>
      <c r="C12" s="11" t="s">
        <v>129</v>
      </c>
      <c r="D12" s="61">
        <v>4.7</v>
      </c>
      <c r="E12" s="51">
        <v>3</v>
      </c>
      <c r="F12" s="51">
        <f t="shared" si="2"/>
        <v>1.7000000000000002</v>
      </c>
      <c r="G12" s="51">
        <f t="shared" si="3"/>
        <v>56.666666666666679</v>
      </c>
      <c r="H12" s="18"/>
      <c r="I12" s="18"/>
      <c r="J12" s="18"/>
      <c r="K12" s="18"/>
      <c r="L12" s="18"/>
      <c r="M12" s="18"/>
      <c r="N12" s="18"/>
      <c r="O12" s="18"/>
      <c r="P12" s="18"/>
      <c r="Q12" s="18"/>
      <c r="R12" s="18"/>
      <c r="S12" s="18"/>
      <c r="T12" s="18"/>
      <c r="U12" s="18"/>
      <c r="V12" s="18"/>
    </row>
    <row r="13" spans="1:22" ht="28.5" customHeight="1" x14ac:dyDescent="0.25">
      <c r="A13" s="65" t="s">
        <v>271</v>
      </c>
      <c r="B13" s="11" t="s">
        <v>96</v>
      </c>
      <c r="C13" s="11" t="s">
        <v>97</v>
      </c>
      <c r="D13" s="61">
        <v>6.2</v>
      </c>
      <c r="E13" s="51">
        <v>5.4</v>
      </c>
      <c r="F13" s="51">
        <f t="shared" si="2"/>
        <v>0.79999999999999982</v>
      </c>
      <c r="G13" s="51">
        <f t="shared" si="3"/>
        <v>14.814814814814811</v>
      </c>
      <c r="H13" s="18"/>
      <c r="I13" s="18"/>
      <c r="J13" s="18"/>
      <c r="K13" s="18"/>
      <c r="L13" s="18"/>
      <c r="M13" s="18"/>
      <c r="N13" s="18"/>
      <c r="O13" s="18"/>
      <c r="P13" s="18"/>
      <c r="Q13" s="18"/>
      <c r="R13" s="18"/>
      <c r="S13" s="18"/>
      <c r="T13" s="18"/>
      <c r="U13" s="18"/>
      <c r="V13" s="18"/>
    </row>
    <row r="14" spans="1:22" ht="28.5" customHeight="1" x14ac:dyDescent="0.25">
      <c r="A14" s="65" t="s">
        <v>148</v>
      </c>
      <c r="B14" s="11" t="s">
        <v>149</v>
      </c>
      <c r="C14" s="11" t="s">
        <v>49</v>
      </c>
      <c r="D14" s="63">
        <v>4.4000000000000004</v>
      </c>
      <c r="E14" s="62">
        <v>4.2</v>
      </c>
      <c r="F14" s="51">
        <f t="shared" si="2"/>
        <v>0.20000000000000018</v>
      </c>
      <c r="G14" s="51">
        <f t="shared" si="3"/>
        <v>4.7619047619047654</v>
      </c>
      <c r="H14" s="18"/>
      <c r="I14" s="18"/>
      <c r="J14" s="18"/>
      <c r="K14" s="18"/>
      <c r="L14" s="18"/>
      <c r="M14" s="18"/>
      <c r="N14" s="18"/>
      <c r="O14" s="18"/>
      <c r="P14" s="18"/>
      <c r="Q14" s="18"/>
      <c r="R14" s="18"/>
      <c r="S14" s="18"/>
      <c r="T14" s="18"/>
      <c r="U14" s="18"/>
      <c r="V14" s="18"/>
    </row>
    <row r="15" spans="1:22" ht="28.5" customHeight="1" x14ac:dyDescent="0.25">
      <c r="A15" s="65" t="s">
        <v>124</v>
      </c>
      <c r="B15" s="11" t="s">
        <v>125</v>
      </c>
      <c r="C15" s="11" t="s">
        <v>126</v>
      </c>
      <c r="D15" s="63">
        <v>26.2</v>
      </c>
      <c r="E15" s="62">
        <v>17.100000000000001</v>
      </c>
      <c r="F15" s="51">
        <f t="shared" si="2"/>
        <v>9.0999999999999979</v>
      </c>
      <c r="G15" s="51">
        <f t="shared" si="3"/>
        <v>53.216374269005826</v>
      </c>
      <c r="H15" s="18"/>
      <c r="I15" s="18"/>
      <c r="J15" s="18"/>
      <c r="K15" s="18"/>
      <c r="L15" s="18"/>
      <c r="M15" s="18"/>
      <c r="N15" s="18"/>
      <c r="O15" s="18"/>
      <c r="P15" s="18"/>
      <c r="Q15" s="18"/>
      <c r="R15" s="18"/>
      <c r="S15" s="18"/>
      <c r="T15" s="18"/>
      <c r="U15" s="18"/>
      <c r="V15" s="18"/>
    </row>
    <row r="16" spans="1:22" ht="28.5" customHeight="1" x14ac:dyDescent="0.25">
      <c r="A16" s="65" t="s">
        <v>272</v>
      </c>
      <c r="B16" s="11" t="s">
        <v>273</v>
      </c>
      <c r="C16" s="11" t="s">
        <v>89</v>
      </c>
      <c r="D16" s="61">
        <v>27.2</v>
      </c>
      <c r="E16" s="51">
        <v>49.5</v>
      </c>
      <c r="F16" s="51">
        <f t="shared" si="2"/>
        <v>-22.3</v>
      </c>
      <c r="G16" s="51">
        <f t="shared" si="3"/>
        <v>-45.050505050505052</v>
      </c>
      <c r="H16" s="18"/>
      <c r="I16" s="18"/>
      <c r="J16" s="18"/>
      <c r="K16" s="18"/>
      <c r="L16" s="18"/>
      <c r="M16" s="18"/>
      <c r="N16" s="18"/>
      <c r="O16" s="18"/>
      <c r="P16" s="18"/>
      <c r="Q16" s="18"/>
      <c r="R16" s="18"/>
      <c r="S16" s="18"/>
      <c r="T16" s="18"/>
      <c r="U16" s="18"/>
      <c r="V16" s="18"/>
    </row>
    <row r="17" spans="1:22" ht="28.5" customHeight="1" x14ac:dyDescent="0.25">
      <c r="A17" s="66" t="s">
        <v>274</v>
      </c>
      <c r="B17" s="11" t="s">
        <v>220</v>
      </c>
      <c r="C17" s="11" t="s">
        <v>221</v>
      </c>
      <c r="D17" s="61">
        <v>0</v>
      </c>
      <c r="E17" s="51">
        <v>23.2</v>
      </c>
      <c r="F17" s="51">
        <f t="shared" si="2"/>
        <v>-23.2</v>
      </c>
      <c r="G17" s="51">
        <f t="shared" si="3"/>
        <v>-100</v>
      </c>
      <c r="H17" s="18"/>
      <c r="I17" s="18"/>
      <c r="J17" s="18"/>
      <c r="K17" s="18"/>
      <c r="L17" s="18"/>
      <c r="M17" s="18"/>
      <c r="N17" s="18"/>
      <c r="O17" s="18"/>
      <c r="P17" s="18"/>
      <c r="Q17" s="18"/>
      <c r="R17" s="18"/>
      <c r="S17" s="18"/>
      <c r="T17" s="18"/>
      <c r="U17" s="18"/>
      <c r="V17" s="18"/>
    </row>
    <row r="18" spans="1:22" ht="28.5" customHeight="1" x14ac:dyDescent="0.25">
      <c r="A18" s="65" t="s">
        <v>275</v>
      </c>
      <c r="B18" s="11" t="s">
        <v>276</v>
      </c>
      <c r="C18" s="11" t="s">
        <v>89</v>
      </c>
      <c r="D18" s="61">
        <v>3.4</v>
      </c>
      <c r="E18" s="51">
        <v>8.1999999999999993</v>
      </c>
      <c r="F18" s="51">
        <f t="shared" si="2"/>
        <v>-4.7999999999999989</v>
      </c>
      <c r="G18" s="51">
        <f t="shared" si="3"/>
        <v>-58.536585365853654</v>
      </c>
      <c r="H18" s="18"/>
      <c r="I18" s="18"/>
      <c r="J18" s="18"/>
      <c r="K18" s="18"/>
      <c r="L18" s="18"/>
      <c r="M18" s="18"/>
      <c r="N18" s="18"/>
      <c r="O18" s="18"/>
      <c r="P18" s="18"/>
      <c r="Q18" s="18"/>
      <c r="R18" s="18"/>
      <c r="S18" s="18"/>
      <c r="T18" s="18"/>
      <c r="U18" s="18"/>
      <c r="V18" s="18"/>
    </row>
    <row r="19" spans="1:22" ht="28.5" customHeight="1" x14ac:dyDescent="0.25">
      <c r="A19" s="65" t="s">
        <v>277</v>
      </c>
      <c r="B19" s="11" t="s">
        <v>277</v>
      </c>
      <c r="C19" s="11" t="s">
        <v>239</v>
      </c>
      <c r="D19" s="61">
        <v>7.8000000000000007</v>
      </c>
      <c r="E19" s="51">
        <v>14.2</v>
      </c>
      <c r="F19" s="51">
        <f t="shared" si="2"/>
        <v>-6.3999999999999986</v>
      </c>
      <c r="G19" s="51">
        <f t="shared" si="3"/>
        <v>-45.070422535211257</v>
      </c>
      <c r="H19" s="18"/>
      <c r="I19" s="18"/>
      <c r="J19" s="18"/>
      <c r="K19" s="18"/>
      <c r="L19" s="18"/>
      <c r="M19" s="18"/>
      <c r="N19" s="18"/>
      <c r="O19" s="18"/>
      <c r="P19" s="18"/>
      <c r="Q19" s="18"/>
      <c r="R19" s="18"/>
      <c r="S19" s="18"/>
      <c r="T19" s="18"/>
      <c r="U19" s="18"/>
      <c r="V19" s="18"/>
    </row>
    <row r="20" spans="1:22" ht="28.5" customHeight="1" x14ac:dyDescent="0.25">
      <c r="A20" s="65" t="s">
        <v>278</v>
      </c>
      <c r="B20" s="11" t="s">
        <v>279</v>
      </c>
      <c r="C20" s="11" t="s">
        <v>49</v>
      </c>
      <c r="D20" s="61">
        <v>5.0999999999999996</v>
      </c>
      <c r="E20" s="51">
        <v>5.0999999999999996</v>
      </c>
      <c r="F20" s="51">
        <f t="shared" si="2"/>
        <v>0</v>
      </c>
      <c r="G20" s="51">
        <f t="shared" si="3"/>
        <v>0</v>
      </c>
      <c r="H20" s="18"/>
      <c r="I20" s="18"/>
      <c r="J20" s="18"/>
      <c r="K20" s="18"/>
      <c r="L20" s="18"/>
      <c r="M20" s="18"/>
      <c r="N20" s="18"/>
      <c r="O20" s="18"/>
      <c r="P20" s="18"/>
      <c r="Q20" s="18"/>
      <c r="R20" s="18"/>
      <c r="S20" s="18"/>
      <c r="T20" s="18"/>
      <c r="U20" s="18"/>
      <c r="V20" s="18"/>
    </row>
    <row r="21" spans="1:22" ht="28.5" customHeight="1" x14ac:dyDescent="0.25">
      <c r="A21" s="65" t="s">
        <v>280</v>
      </c>
      <c r="B21" s="11" t="s">
        <v>281</v>
      </c>
      <c r="C21" s="11" t="s">
        <v>89</v>
      </c>
      <c r="D21" s="61">
        <v>9.6999999999999993</v>
      </c>
      <c r="E21" s="51">
        <v>9.3000000000000007</v>
      </c>
      <c r="F21" s="51">
        <f t="shared" si="2"/>
        <v>0.39999999999999858</v>
      </c>
      <c r="G21" s="51">
        <f t="shared" si="3"/>
        <v>4.3010752688171889</v>
      </c>
      <c r="H21" s="18"/>
      <c r="I21" s="18"/>
      <c r="J21" s="18"/>
      <c r="K21" s="18"/>
      <c r="L21" s="18"/>
      <c r="M21" s="18"/>
      <c r="N21" s="18"/>
      <c r="O21" s="18"/>
      <c r="P21" s="18"/>
      <c r="Q21" s="18"/>
      <c r="R21" s="18"/>
      <c r="S21" s="18"/>
      <c r="T21" s="18"/>
      <c r="U21" s="18"/>
      <c r="V21" s="18"/>
    </row>
    <row r="22" spans="1:22" ht="28.5" customHeight="1" x14ac:dyDescent="0.25">
      <c r="A22" s="65" t="s">
        <v>282</v>
      </c>
      <c r="B22" s="11" t="s">
        <v>283</v>
      </c>
      <c r="C22" s="24" t="s">
        <v>129</v>
      </c>
      <c r="D22" s="67">
        <v>3.4</v>
      </c>
      <c r="E22" s="25">
        <v>18.700000000000003</v>
      </c>
      <c r="F22" s="51">
        <f t="shared" si="2"/>
        <v>-15.300000000000002</v>
      </c>
      <c r="G22" s="51">
        <f t="shared" si="3"/>
        <v>-81.818181818181827</v>
      </c>
      <c r="H22" s="18"/>
      <c r="I22" s="18"/>
      <c r="J22" s="18"/>
      <c r="K22" s="18"/>
      <c r="L22" s="18"/>
      <c r="M22" s="18"/>
      <c r="N22" s="18"/>
      <c r="O22" s="18"/>
      <c r="P22" s="18"/>
      <c r="Q22" s="18"/>
      <c r="R22" s="18"/>
      <c r="S22" s="18"/>
      <c r="T22" s="18"/>
      <c r="U22" s="18"/>
      <c r="V22" s="18"/>
    </row>
    <row r="23" spans="1:22" ht="28.5" customHeight="1" x14ac:dyDescent="0.25">
      <c r="A23" s="65" t="s">
        <v>284</v>
      </c>
      <c r="B23" s="11" t="s">
        <v>285</v>
      </c>
      <c r="C23" s="11" t="s">
        <v>126</v>
      </c>
      <c r="D23" s="61">
        <v>4.0999999999999996</v>
      </c>
      <c r="E23" s="51">
        <v>6.4</v>
      </c>
      <c r="F23" s="51">
        <f t="shared" si="2"/>
        <v>-2.3000000000000007</v>
      </c>
      <c r="G23" s="51">
        <f t="shared" si="3"/>
        <v>-35.937500000000014</v>
      </c>
      <c r="H23" s="18"/>
      <c r="I23" s="18"/>
      <c r="J23" s="18"/>
      <c r="K23" s="18"/>
      <c r="L23" s="18"/>
      <c r="M23" s="18"/>
      <c r="N23" s="18"/>
      <c r="O23" s="18"/>
      <c r="P23" s="18"/>
      <c r="Q23" s="18"/>
      <c r="R23" s="18"/>
      <c r="S23" s="18"/>
      <c r="T23" s="18"/>
      <c r="U23" s="18"/>
      <c r="V23" s="18"/>
    </row>
    <row r="24" spans="1:22" ht="28.5" customHeight="1" x14ac:dyDescent="0.25">
      <c r="A24" s="65" t="s">
        <v>286</v>
      </c>
      <c r="B24" s="24" t="s">
        <v>287</v>
      </c>
      <c r="C24" s="24" t="s">
        <v>129</v>
      </c>
      <c r="D24" s="67">
        <v>10.9</v>
      </c>
      <c r="E24" s="25">
        <v>13.2</v>
      </c>
      <c r="F24" s="51">
        <f t="shared" si="2"/>
        <v>-2.2999999999999989</v>
      </c>
      <c r="G24" s="51">
        <f t="shared" si="3"/>
        <v>-17.424242424242419</v>
      </c>
      <c r="H24" s="18"/>
      <c r="I24" s="18"/>
      <c r="J24" s="18"/>
      <c r="K24" s="18"/>
      <c r="L24" s="18"/>
      <c r="M24" s="18"/>
      <c r="N24" s="18"/>
      <c r="O24" s="18"/>
      <c r="P24" s="18"/>
      <c r="Q24" s="18"/>
      <c r="R24" s="18"/>
      <c r="S24" s="18"/>
      <c r="T24" s="18"/>
      <c r="U24" s="18"/>
      <c r="V24" s="18"/>
    </row>
    <row r="25" spans="1:22" ht="28.5" customHeight="1" x14ac:dyDescent="0.25">
      <c r="A25" s="65" t="s">
        <v>288</v>
      </c>
      <c r="B25" s="11" t="s">
        <v>289</v>
      </c>
      <c r="C25" s="11" t="s">
        <v>62</v>
      </c>
      <c r="D25" s="61">
        <v>8</v>
      </c>
      <c r="E25" s="51">
        <v>9.4</v>
      </c>
      <c r="F25" s="51">
        <f t="shared" si="2"/>
        <v>-1.4000000000000004</v>
      </c>
      <c r="G25" s="51">
        <f t="shared" si="3"/>
        <v>-14.893617021276597</v>
      </c>
      <c r="H25" s="18"/>
      <c r="I25" s="18"/>
      <c r="J25" s="18"/>
      <c r="K25" s="18"/>
      <c r="L25" s="18"/>
      <c r="M25" s="18"/>
      <c r="N25" s="18"/>
      <c r="O25" s="18"/>
      <c r="P25" s="18"/>
      <c r="Q25" s="18"/>
      <c r="R25" s="18"/>
      <c r="S25" s="18"/>
      <c r="T25" s="18"/>
      <c r="U25" s="18"/>
      <c r="V25" s="18"/>
    </row>
    <row r="26" spans="1:22" ht="28.5" customHeight="1" x14ac:dyDescent="0.25">
      <c r="A26" s="11" t="s">
        <v>290</v>
      </c>
      <c r="B26" s="11" t="s">
        <v>291</v>
      </c>
      <c r="C26" s="32" t="s">
        <v>89</v>
      </c>
      <c r="D26" s="61">
        <v>12.2</v>
      </c>
      <c r="E26" s="51">
        <v>12.010000000000002</v>
      </c>
      <c r="F26" s="51">
        <f t="shared" si="2"/>
        <v>0.18999999999999773</v>
      </c>
      <c r="G26" s="51">
        <f t="shared" si="3"/>
        <v>1.5820149875103888</v>
      </c>
      <c r="H26" s="18"/>
      <c r="I26" s="18"/>
      <c r="J26" s="18"/>
      <c r="K26" s="18"/>
      <c r="L26" s="18"/>
      <c r="M26" s="18"/>
      <c r="N26" s="18"/>
      <c r="O26" s="18"/>
      <c r="P26" s="18"/>
      <c r="Q26" s="18"/>
      <c r="R26" s="18"/>
      <c r="S26" s="18"/>
      <c r="T26" s="18"/>
      <c r="U26" s="18"/>
      <c r="V26" s="18"/>
    </row>
    <row r="27" spans="1:22" ht="28.5" customHeight="1" x14ac:dyDescent="0.25">
      <c r="A27" s="11" t="s">
        <v>292</v>
      </c>
      <c r="B27" s="11" t="s">
        <v>293</v>
      </c>
      <c r="C27" s="32" t="s">
        <v>89</v>
      </c>
      <c r="D27" s="61">
        <v>16.799999999999997</v>
      </c>
      <c r="E27" s="51">
        <v>15.82</v>
      </c>
      <c r="F27" s="51">
        <f t="shared" si="2"/>
        <v>0.97999999999999687</v>
      </c>
      <c r="G27" s="51">
        <f t="shared" si="3"/>
        <v>6.1946902654867051</v>
      </c>
      <c r="H27" s="18"/>
      <c r="I27" s="18"/>
      <c r="J27" s="18"/>
      <c r="K27" s="18"/>
      <c r="L27" s="18"/>
      <c r="M27" s="18"/>
      <c r="N27" s="18"/>
      <c r="O27" s="18"/>
      <c r="P27" s="18"/>
      <c r="Q27" s="18"/>
      <c r="R27" s="18"/>
      <c r="S27" s="18"/>
      <c r="T27" s="18"/>
      <c r="U27" s="18"/>
      <c r="V27" s="18"/>
    </row>
    <row r="28" spans="1:22" ht="28.5" customHeight="1" x14ac:dyDescent="0.25">
      <c r="A28" s="11" t="s">
        <v>294</v>
      </c>
      <c r="B28" s="11"/>
      <c r="C28" s="11"/>
      <c r="D28" s="61">
        <v>65.099999999999994</v>
      </c>
      <c r="E28" s="51">
        <v>77.259999999999991</v>
      </c>
      <c r="F28" s="51">
        <f t="shared" si="2"/>
        <v>-12.159999999999997</v>
      </c>
      <c r="G28" s="51">
        <f t="shared" si="3"/>
        <v>-15.739062904478383</v>
      </c>
      <c r="H28" s="18"/>
      <c r="I28" s="18"/>
      <c r="J28" s="18"/>
      <c r="K28" s="18"/>
      <c r="L28" s="18"/>
      <c r="M28" s="18"/>
      <c r="N28" s="18"/>
      <c r="O28" s="18"/>
      <c r="P28" s="18"/>
      <c r="Q28" s="18"/>
      <c r="R28" s="18"/>
      <c r="S28" s="18"/>
      <c r="T28" s="18"/>
      <c r="U28" s="18"/>
      <c r="V28" s="18"/>
    </row>
    <row r="29" spans="1:22" ht="28.5" customHeight="1" x14ac:dyDescent="0.25">
      <c r="A29" s="11" t="s">
        <v>295</v>
      </c>
      <c r="B29" s="11" t="s">
        <v>296</v>
      </c>
      <c r="C29" s="11" t="s">
        <v>49</v>
      </c>
      <c r="D29" s="61">
        <v>1.1000000000000001</v>
      </c>
      <c r="E29" s="51">
        <v>5.5259999999999998</v>
      </c>
      <c r="F29" s="51">
        <f t="shared" si="2"/>
        <v>-4.4260000000000002</v>
      </c>
      <c r="G29" s="51">
        <f t="shared" si="3"/>
        <v>-80.094100615273263</v>
      </c>
      <c r="H29" s="18"/>
      <c r="I29" s="18"/>
      <c r="J29" s="18"/>
      <c r="K29" s="18"/>
      <c r="L29" s="18"/>
      <c r="M29" s="18"/>
      <c r="N29" s="18"/>
      <c r="O29" s="18"/>
      <c r="P29" s="18"/>
      <c r="Q29" s="18"/>
      <c r="R29" s="18"/>
      <c r="S29" s="18"/>
      <c r="T29" s="18"/>
      <c r="U29" s="18"/>
      <c r="V29" s="18"/>
    </row>
    <row r="30" spans="1:22" ht="28.5" customHeight="1" x14ac:dyDescent="0.25">
      <c r="A30" s="11" t="s">
        <v>297</v>
      </c>
      <c r="B30" s="11" t="s">
        <v>298</v>
      </c>
      <c r="C30" s="24" t="s">
        <v>43</v>
      </c>
      <c r="D30" s="63">
        <v>2.5</v>
      </c>
      <c r="E30" s="62">
        <v>1.9</v>
      </c>
      <c r="F30" s="51">
        <f t="shared" si="2"/>
        <v>0.60000000000000009</v>
      </c>
      <c r="G30" s="51">
        <f t="shared" si="3"/>
        <v>31.578947368421055</v>
      </c>
      <c r="H30" s="18"/>
      <c r="I30" s="18"/>
      <c r="J30" s="18"/>
      <c r="K30" s="18"/>
      <c r="L30" s="18"/>
      <c r="M30" s="18"/>
      <c r="N30" s="18"/>
      <c r="O30" s="18"/>
      <c r="P30" s="18"/>
      <c r="Q30" s="18"/>
      <c r="R30" s="18"/>
      <c r="S30" s="18"/>
      <c r="T30" s="18"/>
      <c r="U30" s="18"/>
      <c r="V30" s="18"/>
    </row>
    <row r="31" spans="1:22" ht="28.5" customHeight="1" x14ac:dyDescent="0.25">
      <c r="A31" s="26" t="s">
        <v>38</v>
      </c>
      <c r="B31" s="26"/>
      <c r="C31" s="26"/>
      <c r="D31" s="68">
        <v>1253.2</v>
      </c>
      <c r="E31" s="19">
        <v>1289.8</v>
      </c>
      <c r="F31" s="19">
        <f t="shared" si="2"/>
        <v>-36.599999999999909</v>
      </c>
      <c r="G31" s="19">
        <f t="shared" si="3"/>
        <v>-2.8376492479454107</v>
      </c>
      <c r="H31" s="54"/>
      <c r="I31" s="54"/>
      <c r="J31" s="54"/>
      <c r="K31" s="54"/>
      <c r="L31" s="54"/>
      <c r="M31" s="54"/>
      <c r="N31" s="54"/>
      <c r="O31" s="54"/>
      <c r="P31" s="54"/>
      <c r="Q31" s="54"/>
      <c r="R31" s="54"/>
      <c r="S31" s="54"/>
      <c r="T31" s="54"/>
      <c r="U31" s="54"/>
      <c r="V31" s="54"/>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PharmaCompass Welcome</vt:lpstr>
      <vt:lpstr>RadioData</vt:lpstr>
      <vt:lpstr>Abbott</vt:lpstr>
      <vt:lpstr>AbbVie</vt:lpstr>
      <vt:lpstr>Alcon</vt:lpstr>
      <vt:lpstr>Alexion</vt:lpstr>
      <vt:lpstr>Alnylam Pharma</vt:lpstr>
      <vt:lpstr>Amgen</vt:lpstr>
      <vt:lpstr>Astellas</vt:lpstr>
      <vt:lpstr>AstraZeneca</vt:lpstr>
      <vt:lpstr>Bausch Health</vt:lpstr>
      <vt:lpstr>Bavarian Nordic</vt:lpstr>
      <vt:lpstr>Baxter</vt:lpstr>
      <vt:lpstr>Bayer</vt:lpstr>
      <vt:lpstr>Biogen</vt:lpstr>
      <vt:lpstr>Biomarin</vt:lpstr>
      <vt:lpstr>Boehringer Ingelheim</vt:lpstr>
      <vt:lpstr>Bristol Myers Squibb</vt:lpstr>
      <vt:lpstr>Chugai </vt:lpstr>
      <vt:lpstr>Cosmo Pharmaceuticals</vt:lpstr>
      <vt:lpstr>Daiichi Sankyo</vt:lpstr>
      <vt:lpstr>Dainippon Sumitomo</vt:lpstr>
      <vt:lpstr>Eisai</vt:lpstr>
      <vt:lpstr>Endo Pharma</vt:lpstr>
      <vt:lpstr>Eli Lilly</vt:lpstr>
      <vt:lpstr>Fresenius SE &amp; Co. KGaA</vt:lpstr>
      <vt:lpstr>Gilead</vt:lpstr>
      <vt:lpstr>GlaxoSmithKline</vt:lpstr>
      <vt:lpstr>Ionis Pharmaceuticals</vt:lpstr>
      <vt:lpstr>Ipsen</vt:lpstr>
      <vt:lpstr>Jazz Pharma</vt:lpstr>
      <vt:lpstr>Johnson &amp; Johnson</vt:lpstr>
      <vt:lpstr>Kyowa Kirin</vt:lpstr>
      <vt:lpstr>Lundbeck</vt:lpstr>
      <vt:lpstr>Mallinckrodt Plc</vt:lpstr>
      <vt:lpstr>Merck</vt:lpstr>
      <vt:lpstr>Mitsubishi Tanabe</vt:lpstr>
      <vt:lpstr>Mylan (9 months)</vt:lpstr>
      <vt:lpstr>Upjohn (9 months)</vt:lpstr>
      <vt:lpstr>Viatris</vt:lpstr>
      <vt:lpstr>Neurocrine</vt:lpstr>
      <vt:lpstr>Novartis</vt:lpstr>
      <vt:lpstr>Novo Nordisk</vt:lpstr>
      <vt:lpstr>Ono Pharma</vt:lpstr>
      <vt:lpstr>Otsuka</vt:lpstr>
      <vt:lpstr>Pfizer Inc.</vt:lpstr>
      <vt:lpstr>Regeneron</vt:lpstr>
      <vt:lpstr>Roche</vt:lpstr>
      <vt:lpstr>Sanofi</vt:lpstr>
      <vt:lpstr>Shionogi &amp; Co. Ltd</vt:lpstr>
      <vt:lpstr>Swedish Orphan Biovitrum AB</vt:lpstr>
      <vt:lpstr>Takeda</vt:lpstr>
      <vt:lpstr>Teva</vt:lpstr>
      <vt:lpstr>UCB</vt:lpstr>
      <vt:lpstr>Ultragenyx Pharm Inc</vt:lpstr>
      <vt:lpstr>United Therapeutics</vt:lpstr>
      <vt:lpstr>Vertex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PCTEAM</dc:creator>
  <cp:lastModifiedBy>PCTEAM</cp:lastModifiedBy>
  <dcterms:created xsi:type="dcterms:W3CDTF">2021-05-12T19:24:36Z</dcterms:created>
  <dcterms:modified xsi:type="dcterms:W3CDTF">2021-05-13T06:17:45Z</dcterms:modified>
</cp:coreProperties>
</file>